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17.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updateLinks="never" codeName="DieseArbeitsmappe"/>
  <mc:AlternateContent xmlns:mc="http://schemas.openxmlformats.org/markup-compatibility/2006">
    <mc:Choice Requires="x15">
      <x15ac:absPath xmlns:x15ac="http://schemas.microsoft.com/office/spreadsheetml/2010/11/ac" url="H:\Eigene Dateien\Excel\Gündungsplaner\2024\"/>
    </mc:Choice>
  </mc:AlternateContent>
  <xr:revisionPtr revIDLastSave="0" documentId="13_ncr:1_{2BFA934B-0610-4CD8-ACC2-F3A1F19DEC98}" xr6:coauthVersionLast="47" xr6:coauthVersionMax="47" xr10:uidLastSave="{00000000-0000-0000-0000-000000000000}"/>
  <bookViews>
    <workbookView xWindow="-108" yWindow="-108" windowWidth="23256" windowHeight="12456" tabRatio="810" xr2:uid="{00000000-000D-0000-FFFF-FFFF00000000}"/>
  </bookViews>
  <sheets>
    <sheet name="Startseite" sheetId="23" r:id="rId1"/>
    <sheet name="Bearbeitungshinweise" sheetId="46" r:id="rId2"/>
    <sheet name="Hinweise Speichern &amp; Drucken" sheetId="47" r:id="rId3"/>
    <sheet name="Deckblatt" sheetId="33" r:id="rId4"/>
    <sheet name="Kapitalbedarf" sheetId="4" r:id="rId5"/>
    <sheet name="Finanzierung" sheetId="24" r:id="rId6"/>
    <sheet name="Zins und Tilgung" sheetId="41" r:id="rId7"/>
    <sheet name="Personalkosten 1. Jahr" sheetId="34" r:id="rId8"/>
    <sheet name="Personalkosten 2. Jahr" sheetId="35" r:id="rId9"/>
    <sheet name="Personalkosten 3. Jahr" sheetId="36" r:id="rId10"/>
    <sheet name="übrige Kosten" sheetId="7" r:id="rId11"/>
    <sheet name="Unternehmerlohn" sheetId="28" r:id="rId12"/>
    <sheet name="Umsatzplanung" sheetId="32" r:id="rId13"/>
    <sheet name="Rentabilität" sheetId="8" r:id="rId14"/>
    <sheet name="Stundenkostensatz " sheetId="45" r:id="rId15"/>
    <sheet name="Hilfstabelle" sheetId="42" state="hidden" r:id="rId16"/>
    <sheet name="Liquiditätsplan-1.Jahr" sheetId="25" r:id="rId17"/>
    <sheet name="Ertragsprognose 1. Jahr" sheetId="48" state="hidden" r:id="rId18"/>
    <sheet name="Liquiditätsplan-2.Jahr" sheetId="39" r:id="rId19"/>
    <sheet name="Liquiditätsplan-3.Jahr" sheetId="40" r:id="rId20"/>
  </sheets>
  <definedNames>
    <definedName name="_xlnm._FilterDatabase" localSheetId="9" hidden="1">'Personalkosten 3. Jahr'!$P$15:$R$39</definedName>
    <definedName name="_xlnm.Print_Area" localSheetId="1">Bearbeitungshinweise!$A$1:$H$402</definedName>
    <definedName name="_xlnm.Print_Area" localSheetId="3">Deckblatt!$A$3:$M$48</definedName>
    <definedName name="_xlnm.Print_Area" localSheetId="17">'Ertragsprognose 1. Jahr'!$A$4:$R$40</definedName>
    <definedName name="_xlnm.Print_Area" localSheetId="5">Finanzierung!$A$3:$J$38</definedName>
    <definedName name="_xlnm.Print_Area" localSheetId="4">Kapitalbedarf!$A$4:$J$36</definedName>
    <definedName name="_xlnm.Print_Area" localSheetId="16">'Liquiditätsplan-1.Jahr'!$A$4:$R$61</definedName>
    <definedName name="_xlnm.Print_Area" localSheetId="18">'Liquiditätsplan-2.Jahr'!$A$4:$R$61</definedName>
    <definedName name="_xlnm.Print_Area" localSheetId="19">'Liquiditätsplan-3.Jahr'!$A$4:$R$61</definedName>
    <definedName name="_xlnm.Print_Area" localSheetId="7">'Personalkosten 1. Jahr'!$C$4:$R$48</definedName>
    <definedName name="_xlnm.Print_Area" localSheetId="8">'Personalkosten 2. Jahr'!$A$4:$P$48</definedName>
    <definedName name="_xlnm.Print_Area" localSheetId="9">'Personalkosten 3. Jahr'!$A$4:$P$48</definedName>
    <definedName name="_xlnm.Print_Area" localSheetId="13">Rentabilität!$C$5:$L$47</definedName>
    <definedName name="_xlnm.Print_Area" localSheetId="0">Startseite!$A$1:$L$39</definedName>
    <definedName name="_xlnm.Print_Area" localSheetId="14">'Stundenkostensatz '!$A$4:$O$90</definedName>
    <definedName name="_xlnm.Print_Area" localSheetId="10">'übrige Kosten'!$A$3:$H$41</definedName>
    <definedName name="_xlnm.Print_Area" localSheetId="12">Umsatzplanung!$A$4:$J$23,Umsatzplanung!$A$24:$P$143</definedName>
    <definedName name="_xlnm.Print_Area" localSheetId="11">Unternehmerlohn!$C$5:$K$69,Unternehmerlohn!$N$5:$V$69,Unternehmerlohn!$Y$5:$AG$69</definedName>
    <definedName name="_xlnm.Print_Area" localSheetId="6">'Zins und Tilgung'!$A$4:$AT$42</definedName>
    <definedName name="Rechtsformen">Startseite!$A$38:$A$48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8" l="1"/>
  <c r="B39" i="48"/>
  <c r="C40" i="48" s="1"/>
  <c r="O36" i="48"/>
  <c r="P36" i="48" s="1"/>
  <c r="A36" i="48"/>
  <c r="O35" i="48"/>
  <c r="P35" i="48" s="1"/>
  <c r="A35" i="48"/>
  <c r="O34" i="48"/>
  <c r="P34" i="48" s="1"/>
  <c r="A34" i="48"/>
  <c r="B33" i="48"/>
  <c r="A33" i="48"/>
  <c r="B32" i="48"/>
  <c r="A32" i="48"/>
  <c r="A31" i="48"/>
  <c r="B30" i="48"/>
  <c r="A30" i="48"/>
  <c r="B29" i="48"/>
  <c r="A29" i="48"/>
  <c r="B28" i="48"/>
  <c r="A28" i="48"/>
  <c r="B27" i="48"/>
  <c r="A27" i="48"/>
  <c r="B26" i="48"/>
  <c r="A26" i="48"/>
  <c r="B25" i="48"/>
  <c r="A25" i="48"/>
  <c r="B24" i="48"/>
  <c r="A24" i="48"/>
  <c r="B23" i="48"/>
  <c r="A23" i="48"/>
  <c r="B21" i="48"/>
  <c r="A21" i="48"/>
  <c r="B20" i="48"/>
  <c r="A20" i="48"/>
  <c r="B19" i="48"/>
  <c r="A19" i="48"/>
  <c r="B18" i="48"/>
  <c r="A18" i="48"/>
  <c r="B17" i="48"/>
  <c r="A17" i="48"/>
  <c r="B16" i="48"/>
  <c r="A16" i="48"/>
  <c r="B14" i="48"/>
  <c r="C9" i="48"/>
  <c r="D9" i="48" l="1"/>
  <c r="J34" i="36"/>
  <c r="J33" i="36"/>
  <c r="J32" i="36"/>
  <c r="J31" i="36"/>
  <c r="J30" i="36"/>
  <c r="J29" i="36"/>
  <c r="J28" i="36"/>
  <c r="J27" i="36"/>
  <c r="J26" i="36"/>
  <c r="J25" i="36"/>
  <c r="J24" i="36"/>
  <c r="J23" i="36"/>
  <c r="J34" i="35"/>
  <c r="J33" i="35"/>
  <c r="J32" i="35"/>
  <c r="J31" i="35"/>
  <c r="J30" i="35"/>
  <c r="J29" i="35"/>
  <c r="J28" i="35"/>
  <c r="J27" i="35"/>
  <c r="J26" i="35"/>
  <c r="J25" i="35"/>
  <c r="J24" i="35"/>
  <c r="J23" i="35"/>
  <c r="L34" i="34"/>
  <c r="L33" i="34"/>
  <c r="L32" i="34"/>
  <c r="L31" i="34"/>
  <c r="L30" i="34"/>
  <c r="L29" i="34"/>
  <c r="L28" i="34"/>
  <c r="L27" i="34"/>
  <c r="L26" i="34"/>
  <c r="L25" i="34"/>
  <c r="L24" i="34"/>
  <c r="L23" i="34"/>
  <c r="E9" i="48" l="1"/>
  <c r="L7" i="34"/>
  <c r="L6" i="34"/>
  <c r="F9" i="48" l="1"/>
  <c r="J22" i="36"/>
  <c r="J21" i="36"/>
  <c r="J20" i="36"/>
  <c r="J19" i="36"/>
  <c r="J18" i="36"/>
  <c r="J17" i="36"/>
  <c r="J16" i="36"/>
  <c r="J15" i="36"/>
  <c r="J22" i="35"/>
  <c r="J21" i="35"/>
  <c r="J20" i="35"/>
  <c r="J19" i="35"/>
  <c r="J18" i="35"/>
  <c r="J17" i="35"/>
  <c r="J16" i="35"/>
  <c r="J15" i="35"/>
  <c r="L22" i="34"/>
  <c r="L21" i="34"/>
  <c r="L20" i="34"/>
  <c r="L19" i="34"/>
  <c r="L18" i="34"/>
  <c r="L17" i="34"/>
  <c r="L16" i="34"/>
  <c r="L15" i="34"/>
  <c r="G9" i="48" l="1"/>
  <c r="H9" i="48" l="1"/>
  <c r="E10" i="7"/>
  <c r="G10" i="7" s="1"/>
  <c r="B2" i="39"/>
  <c r="I9" i="48" l="1"/>
  <c r="J9" i="48" l="1"/>
  <c r="K9" i="48" l="1"/>
  <c r="L9" i="48" l="1"/>
  <c r="M9" i="48" l="1"/>
  <c r="F19" i="25"/>
  <c r="N9" i="48" l="1"/>
  <c r="J7" i="35" l="1"/>
  <c r="J7" i="36" s="1"/>
  <c r="J6" i="35"/>
  <c r="J6" i="36" s="1"/>
  <c r="H13" i="28" l="1"/>
  <c r="J13" i="28" s="1"/>
  <c r="I25" i="45"/>
  <c r="I24" i="45"/>
  <c r="J33" i="28"/>
  <c r="J16" i="28"/>
  <c r="K16" i="28" s="1"/>
  <c r="J26" i="28"/>
  <c r="K26" i="28" s="1"/>
  <c r="H31" i="28"/>
  <c r="J31" i="28" s="1"/>
  <c r="H32" i="28"/>
  <c r="J32" i="28" s="1"/>
  <c r="H33" i="28"/>
  <c r="H34" i="28"/>
  <c r="J34" i="28" s="1"/>
  <c r="H30" i="28"/>
  <c r="J30" i="28" s="1"/>
  <c r="H16" i="28"/>
  <c r="I16" i="28" s="1"/>
  <c r="H17" i="28"/>
  <c r="J17" i="28" s="1"/>
  <c r="K17" i="28" s="1"/>
  <c r="H18" i="28"/>
  <c r="I18" i="28" s="1"/>
  <c r="H19" i="28"/>
  <c r="I19" i="28" s="1"/>
  <c r="H20" i="28"/>
  <c r="J20" i="28" s="1"/>
  <c r="K20" i="28" s="1"/>
  <c r="H21" i="28"/>
  <c r="J21" i="28" s="1"/>
  <c r="K21" i="28" s="1"/>
  <c r="H22" i="28"/>
  <c r="I22" i="28" s="1"/>
  <c r="H23" i="28"/>
  <c r="I23" i="28" s="1"/>
  <c r="H24" i="28"/>
  <c r="I24" i="28" s="1"/>
  <c r="H25" i="28"/>
  <c r="J25" i="28" s="1"/>
  <c r="K25" i="28" s="1"/>
  <c r="H26" i="28"/>
  <c r="I26" i="28" s="1"/>
  <c r="I25" i="28"/>
  <c r="H14" i="28"/>
  <c r="I14" i="28" s="1"/>
  <c r="H15" i="28"/>
  <c r="J15" i="28" s="1"/>
  <c r="K15" i="28" s="1"/>
  <c r="J24" i="28" l="1"/>
  <c r="K24" i="28" s="1"/>
  <c r="J14" i="28"/>
  <c r="K14" i="28" s="1"/>
  <c r="I21" i="28"/>
  <c r="J22" i="28"/>
  <c r="K22" i="28" s="1"/>
  <c r="I20" i="28"/>
  <c r="J23" i="28"/>
  <c r="K23" i="28" s="1"/>
  <c r="I17" i="28"/>
  <c r="I15" i="28"/>
  <c r="J19" i="28"/>
  <c r="K19" i="28" s="1"/>
  <c r="J18" i="28"/>
  <c r="K18" i="28" s="1"/>
  <c r="AG14" i="28"/>
  <c r="AG15" i="28"/>
  <c r="AG17" i="28"/>
  <c r="AG18" i="28"/>
  <c r="AG19" i="28"/>
  <c r="AG20" i="28"/>
  <c r="AG21" i="28"/>
  <c r="AG23" i="28"/>
  <c r="AG24" i="28"/>
  <c r="AG25" i="28"/>
  <c r="AG26" i="28"/>
  <c r="AG13" i="28"/>
  <c r="AE14" i="28"/>
  <c r="AE16" i="28"/>
  <c r="AE17" i="28"/>
  <c r="AE18" i="28"/>
  <c r="AE19" i="28"/>
  <c r="AE20" i="28"/>
  <c r="AE22" i="28"/>
  <c r="AE23" i="28"/>
  <c r="AE24" i="28"/>
  <c r="AE25" i="28"/>
  <c r="AE26" i="28"/>
  <c r="AE13" i="28"/>
  <c r="AC14" i="28"/>
  <c r="AC15" i="28"/>
  <c r="AC16" i="28"/>
  <c r="AC17" i="28"/>
  <c r="AC18" i="28"/>
  <c r="AC19" i="28"/>
  <c r="AC21" i="28"/>
  <c r="AC22" i="28"/>
  <c r="AC23" i="28"/>
  <c r="AC24" i="28"/>
  <c r="AC25" i="28"/>
  <c r="AC26" i="28"/>
  <c r="AC13" i="28"/>
  <c r="AA67" i="28"/>
  <c r="AD67" i="28" s="1"/>
  <c r="AD68" i="28" s="1"/>
  <c r="AF65" i="28"/>
  <c r="AB63" i="28"/>
  <c r="AB68" i="28" s="1"/>
  <c r="AF62" i="28"/>
  <c r="AD56" i="28"/>
  <c r="AD57" i="28" s="1"/>
  <c r="AB56" i="28"/>
  <c r="AB54" i="28"/>
  <c r="AB53" i="28"/>
  <c r="AF35" i="28"/>
  <c r="AD35" i="28"/>
  <c r="AB35" i="28"/>
  <c r="AF27" i="28"/>
  <c r="AF37" i="28" s="1"/>
  <c r="AF43" i="28" s="1"/>
  <c r="AF45" i="28" s="1"/>
  <c r="AD27" i="28"/>
  <c r="AB27" i="28"/>
  <c r="AC35" i="28" l="1"/>
  <c r="AD37" i="28"/>
  <c r="AD43" i="28" s="1"/>
  <c r="AB37" i="28"/>
  <c r="AB43" i="28" s="1"/>
  <c r="AD44" i="28"/>
  <c r="AD45" i="28" s="1"/>
  <c r="AB57" i="28"/>
  <c r="Y38" i="28" s="1"/>
  <c r="AG22" i="28"/>
  <c r="AG16" i="28"/>
  <c r="AE21" i="28"/>
  <c r="AE15" i="28"/>
  <c r="AC20" i="28"/>
  <c r="AB39" i="28"/>
  <c r="AB38" i="28"/>
  <c r="AE35" i="28"/>
  <c r="AG35" i="28"/>
  <c r="V14" i="28"/>
  <c r="V17" i="28"/>
  <c r="V18" i="28"/>
  <c r="V19" i="28"/>
  <c r="V20" i="28"/>
  <c r="V22" i="28"/>
  <c r="V24" i="28"/>
  <c r="V25" i="28"/>
  <c r="V26" i="28"/>
  <c r="V13" i="28"/>
  <c r="T15" i="28"/>
  <c r="T16" i="28"/>
  <c r="T17" i="28"/>
  <c r="T18" i="28"/>
  <c r="T19" i="28"/>
  <c r="T21" i="28"/>
  <c r="T23" i="28"/>
  <c r="T24" i="28"/>
  <c r="T25" i="28"/>
  <c r="T26" i="28"/>
  <c r="R15" i="28"/>
  <c r="R16" i="28"/>
  <c r="R17" i="28"/>
  <c r="R18" i="28"/>
  <c r="R20" i="28"/>
  <c r="R22" i="28"/>
  <c r="R23" i="28"/>
  <c r="R24" i="28"/>
  <c r="R25" i="28"/>
  <c r="R26" i="28"/>
  <c r="P67" i="28"/>
  <c r="S67" i="28" s="1"/>
  <c r="S68" i="28" s="1"/>
  <c r="U65" i="28"/>
  <c r="Q63" i="28"/>
  <c r="Q68" i="28" s="1"/>
  <c r="U62" i="28"/>
  <c r="S56" i="28"/>
  <c r="S57" i="28" s="1"/>
  <c r="Q56" i="28"/>
  <c r="Q54" i="28"/>
  <c r="Q53" i="28"/>
  <c r="U35" i="28"/>
  <c r="S35" i="28"/>
  <c r="Q35" i="28"/>
  <c r="U27" i="28"/>
  <c r="V15" i="28" s="1"/>
  <c r="S27" i="28"/>
  <c r="T13" i="28" s="1"/>
  <c r="Q27" i="28"/>
  <c r="R13" i="28" s="1"/>
  <c r="AB44" i="28" l="1"/>
  <c r="AB45" i="28" s="1"/>
  <c r="V21" i="28"/>
  <c r="T14" i="28"/>
  <c r="T20" i="28"/>
  <c r="R19" i="28"/>
  <c r="S44" i="28"/>
  <c r="Q57" i="28"/>
  <c r="N38" i="28" s="1"/>
  <c r="V35" i="28"/>
  <c r="S37" i="28"/>
  <c r="S43" i="28" s="1"/>
  <c r="Q37" i="28"/>
  <c r="Q43" i="28" s="1"/>
  <c r="V16" i="28"/>
  <c r="V23" i="28"/>
  <c r="U37" i="28"/>
  <c r="U43" i="28" s="1"/>
  <c r="U45" i="28" s="1"/>
  <c r="T22" i="28"/>
  <c r="R21" i="28"/>
  <c r="R14" i="28"/>
  <c r="T35" i="28"/>
  <c r="R35" i="28"/>
  <c r="M79" i="45"/>
  <c r="I79" i="45"/>
  <c r="E79" i="45"/>
  <c r="N77" i="45"/>
  <c r="J77" i="45"/>
  <c r="F77" i="45"/>
  <c r="M75" i="45"/>
  <c r="I75" i="45"/>
  <c r="E75" i="45"/>
  <c r="K73" i="45"/>
  <c r="G73" i="45"/>
  <c r="C73" i="45"/>
  <c r="K72" i="45"/>
  <c r="G72" i="45"/>
  <c r="C72" i="45"/>
  <c r="K71" i="45"/>
  <c r="G71" i="45"/>
  <c r="C71" i="45"/>
  <c r="K70" i="45"/>
  <c r="G70" i="45"/>
  <c r="C70" i="45"/>
  <c r="L68" i="45"/>
  <c r="H68" i="45"/>
  <c r="D68" i="45"/>
  <c r="D69" i="45" s="1"/>
  <c r="K66" i="45"/>
  <c r="G66" i="45"/>
  <c r="C66" i="45"/>
  <c r="S45" i="28" l="1"/>
  <c r="Q44" i="28"/>
  <c r="Q45" i="28" s="1"/>
  <c r="Q39" i="28"/>
  <c r="Q38" i="28"/>
  <c r="D29" i="4"/>
  <c r="E146" i="42" l="1"/>
  <c r="H146" i="42" s="1"/>
  <c r="R70" i="42" l="1"/>
  <c r="R71" i="42"/>
  <c r="R72" i="42"/>
  <c r="R73" i="42"/>
  <c r="R74" i="42"/>
  <c r="R75" i="42"/>
  <c r="R76" i="42"/>
  <c r="R77" i="42"/>
  <c r="R78" i="42"/>
  <c r="R79" i="42"/>
  <c r="R80" i="42"/>
  <c r="R81" i="42"/>
  <c r="R82" i="42"/>
  <c r="R83" i="42"/>
  <c r="R84" i="42"/>
  <c r="R85" i="42"/>
  <c r="R86" i="42"/>
  <c r="R87" i="42"/>
  <c r="R88" i="42"/>
  <c r="R89" i="42"/>
  <c r="R90" i="42"/>
  <c r="R91" i="42"/>
  <c r="R92" i="42"/>
  <c r="Q70" i="42"/>
  <c r="Q71" i="42"/>
  <c r="Q72" i="42"/>
  <c r="Q73" i="42"/>
  <c r="Q74" i="42"/>
  <c r="Q75" i="42"/>
  <c r="Q76" i="42"/>
  <c r="Q77" i="42"/>
  <c r="Q78" i="42"/>
  <c r="Q79" i="42"/>
  <c r="Q80" i="42"/>
  <c r="Q81" i="42"/>
  <c r="Q82" i="42"/>
  <c r="Q83" i="42"/>
  <c r="Q84" i="42"/>
  <c r="Q85" i="42"/>
  <c r="Q86" i="42"/>
  <c r="Q87" i="42"/>
  <c r="Q88" i="42"/>
  <c r="Q89" i="42"/>
  <c r="Q90" i="42"/>
  <c r="Q91" i="42"/>
  <c r="Q92" i="42"/>
  <c r="R69" i="42"/>
  <c r="Q69" i="42"/>
  <c r="R37" i="42"/>
  <c r="R38" i="42"/>
  <c r="R39" i="42"/>
  <c r="R40" i="42"/>
  <c r="R41" i="42"/>
  <c r="R42" i="42"/>
  <c r="R43" i="42"/>
  <c r="R44" i="42"/>
  <c r="R45" i="42"/>
  <c r="R46" i="42"/>
  <c r="R47" i="42"/>
  <c r="R48" i="42"/>
  <c r="R49" i="42"/>
  <c r="R50" i="42"/>
  <c r="R51" i="42"/>
  <c r="R52" i="42"/>
  <c r="R53" i="42"/>
  <c r="R54" i="42"/>
  <c r="R55" i="42"/>
  <c r="R56" i="42"/>
  <c r="R57" i="42"/>
  <c r="R58" i="42"/>
  <c r="R59" i="42"/>
  <c r="Q37" i="42"/>
  <c r="Q38" i="42"/>
  <c r="Q39" i="42"/>
  <c r="Q40" i="42"/>
  <c r="Q41" i="42"/>
  <c r="Q42" i="42"/>
  <c r="Q43" i="42"/>
  <c r="Q44" i="42"/>
  <c r="Q45" i="42"/>
  <c r="Q46" i="42"/>
  <c r="Q47" i="42"/>
  <c r="Q48" i="42"/>
  <c r="Q49" i="42"/>
  <c r="Q50" i="42"/>
  <c r="Q51" i="42"/>
  <c r="Q52" i="42"/>
  <c r="Q53" i="42"/>
  <c r="Q54" i="42"/>
  <c r="Q55" i="42"/>
  <c r="Q56" i="42"/>
  <c r="Q57" i="42"/>
  <c r="Q58" i="42"/>
  <c r="Q59" i="42"/>
  <c r="R36" i="42"/>
  <c r="Q36" i="42"/>
  <c r="R4" i="42"/>
  <c r="R5" i="42"/>
  <c r="R6" i="42"/>
  <c r="R7" i="42"/>
  <c r="R8" i="42"/>
  <c r="R9" i="42"/>
  <c r="R10" i="42"/>
  <c r="R11" i="42"/>
  <c r="R12" i="42"/>
  <c r="R13" i="42"/>
  <c r="R14" i="42"/>
  <c r="R15" i="42"/>
  <c r="R16" i="42"/>
  <c r="R17" i="42"/>
  <c r="R18" i="42"/>
  <c r="R19" i="42"/>
  <c r="R20" i="42"/>
  <c r="R21" i="42"/>
  <c r="R22" i="42"/>
  <c r="R23" i="42"/>
  <c r="R24" i="42"/>
  <c r="R25" i="42"/>
  <c r="R26" i="42"/>
  <c r="Q4" i="42"/>
  <c r="Q5" i="42"/>
  <c r="Q6" i="42"/>
  <c r="Q7" i="42"/>
  <c r="Q8" i="42"/>
  <c r="Q9" i="42"/>
  <c r="Q10" i="42"/>
  <c r="Q11" i="42"/>
  <c r="Q12" i="42"/>
  <c r="Q13" i="42"/>
  <c r="Q14" i="42"/>
  <c r="Q15" i="42"/>
  <c r="Q16" i="42"/>
  <c r="Q17" i="42"/>
  <c r="Q18" i="42"/>
  <c r="Q19" i="42"/>
  <c r="Q20" i="42"/>
  <c r="Q21" i="42"/>
  <c r="Q22" i="42"/>
  <c r="Q23" i="42"/>
  <c r="Q24" i="42"/>
  <c r="Q25" i="42"/>
  <c r="Q26" i="42"/>
  <c r="R3" i="42"/>
  <c r="Q3" i="42"/>
  <c r="H150" i="42" l="1"/>
  <c r="E150" i="42"/>
  <c r="B150" i="42"/>
  <c r="C48" i="25" l="1"/>
  <c r="D48" i="25" s="1"/>
  <c r="A48" i="40" l="1"/>
  <c r="A48" i="39"/>
  <c r="R34" i="42" l="1"/>
  <c r="R67" i="42" l="1"/>
  <c r="N17" i="36" l="1"/>
  <c r="N21" i="36"/>
  <c r="N25" i="36"/>
  <c r="N29" i="36"/>
  <c r="N33" i="36"/>
  <c r="N27" i="36"/>
  <c r="N18" i="36"/>
  <c r="N22" i="36"/>
  <c r="N26" i="36"/>
  <c r="N30" i="36"/>
  <c r="N34" i="36"/>
  <c r="Z38" i="36"/>
  <c r="N23" i="36"/>
  <c r="N31" i="36"/>
  <c r="N20" i="36"/>
  <c r="N24" i="36"/>
  <c r="N28" i="36"/>
  <c r="N32" i="36"/>
  <c r="N36" i="36"/>
  <c r="N15" i="36"/>
  <c r="N38" i="36"/>
  <c r="M45" i="35"/>
  <c r="N35" i="35"/>
  <c r="M56" i="42"/>
  <c r="L56" i="42"/>
  <c r="K56" i="42"/>
  <c r="J56" i="42"/>
  <c r="I56" i="42"/>
  <c r="H56" i="42"/>
  <c r="G56" i="42"/>
  <c r="F56" i="42"/>
  <c r="E56" i="42"/>
  <c r="D56" i="42"/>
  <c r="C56" i="42"/>
  <c r="B56" i="42"/>
  <c r="Z17" i="35"/>
  <c r="Z35" i="35"/>
  <c r="Z17" i="36" l="1"/>
  <c r="Z25" i="36"/>
  <c r="Z16" i="36"/>
  <c r="Z18" i="36"/>
  <c r="Z22" i="36"/>
  <c r="Z21" i="36"/>
  <c r="Z26" i="36"/>
  <c r="Z20" i="36"/>
  <c r="Z28" i="36"/>
  <c r="N37" i="36"/>
  <c r="Z37" i="36"/>
  <c r="Z34" i="36"/>
  <c r="Z15" i="36"/>
  <c r="Z23" i="36"/>
  <c r="Z27" i="36"/>
  <c r="Z33" i="36"/>
  <c r="Z24" i="36"/>
  <c r="Z29" i="36"/>
  <c r="Z31" i="36"/>
  <c r="N16" i="36"/>
  <c r="Z30" i="36"/>
  <c r="Z36" i="36"/>
  <c r="Z19" i="36"/>
  <c r="N19" i="36"/>
  <c r="Z32" i="36"/>
  <c r="M89" i="42"/>
  <c r="I89" i="42"/>
  <c r="E89" i="42"/>
  <c r="J89" i="42"/>
  <c r="F89" i="42"/>
  <c r="B89" i="42"/>
  <c r="N35" i="36"/>
  <c r="L89" i="42"/>
  <c r="H89" i="42"/>
  <c r="D89" i="42"/>
  <c r="Z35" i="36"/>
  <c r="K89" i="42"/>
  <c r="G89" i="42"/>
  <c r="C89" i="42"/>
  <c r="N25" i="35"/>
  <c r="N36" i="35"/>
  <c r="N33" i="35"/>
  <c r="N29" i="35"/>
  <c r="N21" i="35"/>
  <c r="N17" i="35"/>
  <c r="Z38" i="35"/>
  <c r="N38" i="35"/>
  <c r="N20" i="35"/>
  <c r="Z27" i="35"/>
  <c r="N28" i="35"/>
  <c r="N15" i="35"/>
  <c r="N32" i="35"/>
  <c r="N24" i="35"/>
  <c r="N16" i="35"/>
  <c r="Z16" i="35"/>
  <c r="N37" i="35"/>
  <c r="Z36" i="35"/>
  <c r="Z37" i="35"/>
  <c r="Z34" i="35"/>
  <c r="N34" i="35"/>
  <c r="Z30" i="35"/>
  <c r="N30" i="35"/>
  <c r="Z26" i="35"/>
  <c r="N26" i="35"/>
  <c r="N22" i="35"/>
  <c r="Z22" i="35"/>
  <c r="N18" i="35"/>
  <c r="Z18" i="35"/>
  <c r="Z21" i="35"/>
  <c r="Z32" i="35"/>
  <c r="Z19" i="35"/>
  <c r="N31" i="35"/>
  <c r="N27" i="35"/>
  <c r="N23" i="35"/>
  <c r="N19" i="35"/>
  <c r="Z20" i="35"/>
  <c r="Z33" i="35"/>
  <c r="Z25" i="35"/>
  <c r="Z24" i="35"/>
  <c r="Z29" i="35"/>
  <c r="Z23" i="35"/>
  <c r="Z31" i="35"/>
  <c r="Z28" i="35"/>
  <c r="Z15" i="35"/>
  <c r="P35" i="34"/>
  <c r="AB37" i="34"/>
  <c r="AB18" i="34"/>
  <c r="AB20" i="34"/>
  <c r="AB22" i="34" l="1"/>
  <c r="AB38" i="34"/>
  <c r="AB17" i="34"/>
  <c r="AB16" i="34"/>
  <c r="AB36" i="34"/>
  <c r="AB24" i="34"/>
  <c r="AB34" i="34"/>
  <c r="AB30" i="34"/>
  <c r="AB29" i="34"/>
  <c r="AB25" i="34"/>
  <c r="AB26" i="34"/>
  <c r="AB23" i="34"/>
  <c r="P31" i="34"/>
  <c r="AB31" i="34"/>
  <c r="P27" i="34"/>
  <c r="AB27" i="34"/>
  <c r="AB19" i="34"/>
  <c r="AB33" i="34"/>
  <c r="AB21" i="34"/>
  <c r="P32" i="34"/>
  <c r="AB32" i="34"/>
  <c r="P28" i="34"/>
  <c r="AB28" i="34"/>
  <c r="AB15" i="34"/>
  <c r="P15" i="34"/>
  <c r="P25" i="34"/>
  <c r="P21" i="34"/>
  <c r="P17" i="34"/>
  <c r="P36" i="34"/>
  <c r="C23" i="42"/>
  <c r="H23" i="42"/>
  <c r="D23" i="42"/>
  <c r="G23" i="42"/>
  <c r="K23" i="42"/>
  <c r="L23" i="42"/>
  <c r="P23" i="34"/>
  <c r="P19" i="34"/>
  <c r="P38" i="34"/>
  <c r="P34" i="34"/>
  <c r="P30" i="34"/>
  <c r="P26" i="34"/>
  <c r="P22" i="34"/>
  <c r="P18" i="34"/>
  <c r="P37" i="34"/>
  <c r="P33" i="34"/>
  <c r="P29" i="34"/>
  <c r="P24" i="34"/>
  <c r="P20" i="34"/>
  <c r="P16" i="34"/>
  <c r="E23" i="42"/>
  <c r="I23" i="42"/>
  <c r="M23" i="42"/>
  <c r="B23" i="42"/>
  <c r="F23" i="42"/>
  <c r="J23" i="42"/>
  <c r="E29" i="45"/>
  <c r="E30" i="45"/>
  <c r="E31" i="45"/>
  <c r="E32" i="45"/>
  <c r="E33" i="45"/>
  <c r="E34" i="45"/>
  <c r="D17" i="45"/>
  <c r="D18" i="45"/>
  <c r="D19" i="45"/>
  <c r="D20" i="45"/>
  <c r="D21" i="45"/>
  <c r="D22" i="45"/>
  <c r="B17" i="45"/>
  <c r="B18" i="45"/>
  <c r="B19" i="45"/>
  <c r="B20" i="45"/>
  <c r="B21" i="45"/>
  <c r="B22" i="45"/>
  <c r="A50" i="23"/>
  <c r="Y46" i="28" l="1"/>
  <c r="Y42" i="28"/>
  <c r="Y8" i="28"/>
  <c r="N46" i="28"/>
  <c r="N42" i="28"/>
  <c r="N8" i="28"/>
  <c r="Y45" i="28"/>
  <c r="Y37" i="28"/>
  <c r="Y5" i="28"/>
  <c r="N45" i="28"/>
  <c r="N37" i="28"/>
  <c r="N5" i="28"/>
  <c r="C46" i="28"/>
  <c r="C8" i="28"/>
  <c r="C45" i="28"/>
  <c r="C5" i="28"/>
  <c r="C42" i="28"/>
  <c r="C37" i="28"/>
  <c r="A50" i="7"/>
  <c r="D29" i="45"/>
  <c r="J29" i="45" s="1"/>
  <c r="D33" i="45"/>
  <c r="J33" i="45" s="1"/>
  <c r="D32" i="45"/>
  <c r="J32" i="45" s="1"/>
  <c r="D31" i="45"/>
  <c r="J31" i="45" s="1"/>
  <c r="D34" i="45"/>
  <c r="J34" i="45" s="1"/>
  <c r="D30" i="45"/>
  <c r="J30" i="45" s="1"/>
  <c r="H25" i="24" l="1"/>
  <c r="T6" i="41" l="1"/>
  <c r="H103" i="45" l="1"/>
  <c r="B2" i="40" l="1"/>
  <c r="D49" i="40" l="1"/>
  <c r="D49" i="39"/>
  <c r="D24" i="45" l="1"/>
  <c r="J24" i="45" s="1"/>
  <c r="C36" i="24" l="1"/>
  <c r="C59" i="25" l="1"/>
  <c r="F59" i="25" s="1"/>
  <c r="A26" i="33"/>
  <c r="B27" i="39"/>
  <c r="A11" i="4"/>
  <c r="B11" i="4" s="1"/>
  <c r="B48" i="25" s="1"/>
  <c r="B48" i="39" s="1"/>
  <c r="B48" i="40" s="1"/>
  <c r="N87" i="32"/>
  <c r="O81" i="32"/>
  <c r="O82" i="32"/>
  <c r="O83" i="32"/>
  <c r="O84" i="32"/>
  <c r="O85" i="32"/>
  <c r="O86" i="32"/>
  <c r="C34" i="4"/>
  <c r="C13" i="24" s="1"/>
  <c r="D13" i="24" s="1"/>
  <c r="C24" i="4"/>
  <c r="D24" i="4"/>
  <c r="J101" i="45"/>
  <c r="X35" i="36"/>
  <c r="Z35" i="34"/>
  <c r="J27" i="28"/>
  <c r="K13" i="28" s="1"/>
  <c r="H27" i="28"/>
  <c r="I13" i="28" s="1"/>
  <c r="F27" i="28"/>
  <c r="G15" i="28"/>
  <c r="J28" i="8"/>
  <c r="J29" i="8"/>
  <c r="J30" i="8"/>
  <c r="J31" i="8"/>
  <c r="J32" i="8"/>
  <c r="J33" i="8"/>
  <c r="H28" i="8"/>
  <c r="H29" i="8"/>
  <c r="H30" i="8"/>
  <c r="H31" i="8"/>
  <c r="H32" i="8"/>
  <c r="H33" i="8"/>
  <c r="F28" i="8"/>
  <c r="F29" i="8"/>
  <c r="F30" i="8"/>
  <c r="F31" i="8"/>
  <c r="F32" i="8"/>
  <c r="F33" i="8"/>
  <c r="J22" i="8"/>
  <c r="H22" i="8"/>
  <c r="E13" i="7" s="1"/>
  <c r="C30" i="39" s="1"/>
  <c r="F22" i="8"/>
  <c r="B10" i="48" s="1"/>
  <c r="A23" i="33"/>
  <c r="A39" i="33"/>
  <c r="A38" i="33"/>
  <c r="K16" i="34"/>
  <c r="O16" i="34" s="1"/>
  <c r="B4" i="42" s="1"/>
  <c r="K17" i="34"/>
  <c r="O17" i="34" s="1"/>
  <c r="K18" i="34"/>
  <c r="O18" i="34" s="1"/>
  <c r="K19" i="34"/>
  <c r="K20" i="34"/>
  <c r="O20" i="34" s="1"/>
  <c r="K21" i="34"/>
  <c r="K22" i="34"/>
  <c r="O22" i="34" s="1"/>
  <c r="B10" i="42" s="1"/>
  <c r="K23" i="34"/>
  <c r="K24" i="34"/>
  <c r="O24" i="34" s="1"/>
  <c r="K25" i="34"/>
  <c r="K26" i="34"/>
  <c r="K27" i="34"/>
  <c r="K28" i="34"/>
  <c r="K29" i="34"/>
  <c r="K30" i="34"/>
  <c r="K31" i="34"/>
  <c r="K32" i="34"/>
  <c r="K33" i="34"/>
  <c r="K34" i="34"/>
  <c r="K36" i="34"/>
  <c r="L36" i="34" s="1"/>
  <c r="O36" i="34" s="1"/>
  <c r="K37" i="34"/>
  <c r="L37" i="34" s="1"/>
  <c r="O37" i="34" s="1"/>
  <c r="K38" i="34"/>
  <c r="L38" i="34" s="1"/>
  <c r="O38" i="34" s="1"/>
  <c r="B26" i="42" s="1"/>
  <c r="K15" i="34"/>
  <c r="O15" i="34" s="1"/>
  <c r="AA38" i="36"/>
  <c r="Q38" i="36" s="1"/>
  <c r="AA37" i="36"/>
  <c r="Q37" i="36" s="1"/>
  <c r="AA36" i="36"/>
  <c r="Q36" i="36" s="1"/>
  <c r="AA34" i="36"/>
  <c r="Q34" i="36" s="1"/>
  <c r="AA33" i="36"/>
  <c r="Q33" i="36" s="1"/>
  <c r="AA32" i="36"/>
  <c r="Q32" i="36" s="1"/>
  <c r="AA31" i="36"/>
  <c r="Q31" i="36" s="1"/>
  <c r="AA30" i="36"/>
  <c r="Q30" i="36" s="1"/>
  <c r="AA29" i="36"/>
  <c r="Q29" i="36" s="1"/>
  <c r="AA28" i="36"/>
  <c r="Q28" i="36" s="1"/>
  <c r="AA27" i="36"/>
  <c r="Q27" i="36" s="1"/>
  <c r="AA26" i="36"/>
  <c r="Q26" i="36" s="1"/>
  <c r="AA25" i="36"/>
  <c r="Q25" i="36" s="1"/>
  <c r="AA24" i="36"/>
  <c r="Q24" i="36" s="1"/>
  <c r="AA23" i="36"/>
  <c r="Q23" i="36" s="1"/>
  <c r="AA22" i="36"/>
  <c r="Q22" i="36" s="1"/>
  <c r="AA21" i="36"/>
  <c r="Q21" i="36" s="1"/>
  <c r="AA20" i="36"/>
  <c r="Q20" i="36" s="1"/>
  <c r="AA19" i="36"/>
  <c r="Q19" i="36" s="1"/>
  <c r="AA18" i="36"/>
  <c r="Q18" i="36" s="1"/>
  <c r="AA17" i="36"/>
  <c r="Q17" i="36" s="1"/>
  <c r="AA16" i="36"/>
  <c r="Q16" i="36" s="1"/>
  <c r="AA15" i="36"/>
  <c r="Q15" i="36" s="1"/>
  <c r="AA38" i="35"/>
  <c r="Q38" i="35" s="1"/>
  <c r="AA37" i="35"/>
  <c r="Q37" i="35" s="1"/>
  <c r="AA36" i="35"/>
  <c r="Q36" i="35" s="1"/>
  <c r="AA34" i="35"/>
  <c r="Q34" i="35" s="1"/>
  <c r="AA33" i="35"/>
  <c r="Q33" i="35" s="1"/>
  <c r="AA32" i="35"/>
  <c r="Q32" i="35" s="1"/>
  <c r="AA31" i="35"/>
  <c r="Q31" i="35" s="1"/>
  <c r="AA30" i="35"/>
  <c r="Q30" i="35" s="1"/>
  <c r="AA29" i="35"/>
  <c r="Q29" i="35" s="1"/>
  <c r="AA28" i="35"/>
  <c r="Q28" i="35" s="1"/>
  <c r="AA27" i="35"/>
  <c r="Q27" i="35" s="1"/>
  <c r="AA26" i="35"/>
  <c r="Q26" i="35" s="1"/>
  <c r="AA25" i="35"/>
  <c r="Q25" i="35" s="1"/>
  <c r="AA24" i="35"/>
  <c r="Q24" i="35" s="1"/>
  <c r="AA23" i="35"/>
  <c r="Q23" i="35" s="1"/>
  <c r="AA22" i="35"/>
  <c r="Q22" i="35" s="1"/>
  <c r="AA21" i="35"/>
  <c r="Q21" i="35" s="1"/>
  <c r="AA20" i="35"/>
  <c r="Q20" i="35" s="1"/>
  <c r="AA19" i="35"/>
  <c r="Q19" i="35" s="1"/>
  <c r="AA18" i="35"/>
  <c r="Q18" i="35" s="1"/>
  <c r="AA17" i="35"/>
  <c r="Q17" i="35" s="1"/>
  <c r="AA16" i="35"/>
  <c r="Q16" i="35" s="1"/>
  <c r="AA15" i="35"/>
  <c r="Q15" i="35" s="1"/>
  <c r="AC16" i="34"/>
  <c r="S16" i="34" s="1"/>
  <c r="AC17" i="34"/>
  <c r="S17" i="34" s="1"/>
  <c r="AC18" i="34"/>
  <c r="S18" i="34" s="1"/>
  <c r="AC19" i="34"/>
  <c r="S19" i="34" s="1"/>
  <c r="AC20" i="34"/>
  <c r="S20" i="34" s="1"/>
  <c r="AC21" i="34"/>
  <c r="S21" i="34" s="1"/>
  <c r="AC22" i="34"/>
  <c r="S22" i="34" s="1"/>
  <c r="AC23" i="34"/>
  <c r="S23" i="34" s="1"/>
  <c r="AC24" i="34"/>
  <c r="S24" i="34" s="1"/>
  <c r="AC25" i="34"/>
  <c r="S25" i="34" s="1"/>
  <c r="AC26" i="34"/>
  <c r="S26" i="34" s="1"/>
  <c r="AC27" i="34"/>
  <c r="S27" i="34" s="1"/>
  <c r="AC28" i="34"/>
  <c r="S28" i="34" s="1"/>
  <c r="AC29" i="34"/>
  <c r="S29" i="34" s="1"/>
  <c r="AC30" i="34"/>
  <c r="S30" i="34" s="1"/>
  <c r="AC31" i="34"/>
  <c r="S31" i="34" s="1"/>
  <c r="AC32" i="34"/>
  <c r="S32" i="34" s="1"/>
  <c r="AC33" i="34"/>
  <c r="S33" i="34" s="1"/>
  <c r="AC34" i="34"/>
  <c r="S34" i="34" s="1"/>
  <c r="AC36" i="34"/>
  <c r="S36" i="34" s="1"/>
  <c r="AC37" i="34"/>
  <c r="S37" i="34" s="1"/>
  <c r="AC38" i="34"/>
  <c r="S38" i="34" s="1"/>
  <c r="AC15" i="34"/>
  <c r="S15" i="34" s="1"/>
  <c r="T12" i="34"/>
  <c r="T13" i="34"/>
  <c r="T14" i="34"/>
  <c r="P49" i="39"/>
  <c r="Q49" i="39" s="1"/>
  <c r="P48" i="25"/>
  <c r="C31" i="32"/>
  <c r="D32" i="32" s="1"/>
  <c r="H31" i="32"/>
  <c r="I35" i="32" s="1"/>
  <c r="O80" i="32"/>
  <c r="O79" i="32"/>
  <c r="M31" i="32"/>
  <c r="N33" i="32" s="1"/>
  <c r="E73" i="45"/>
  <c r="L69" i="45"/>
  <c r="M71" i="45" s="1"/>
  <c r="H69" i="45"/>
  <c r="I70" i="45" s="1"/>
  <c r="C35" i="34"/>
  <c r="C36" i="34" s="1"/>
  <c r="C37" i="34" s="1"/>
  <c r="C38" i="34" s="1"/>
  <c r="A35" i="35"/>
  <c r="A36" i="35" s="1"/>
  <c r="A37" i="35" s="1"/>
  <c r="A38" i="35" s="1"/>
  <c r="A35" i="36"/>
  <c r="A36" i="36" s="1"/>
  <c r="A37" i="36" s="1"/>
  <c r="A38" i="36" s="1"/>
  <c r="F11" i="4"/>
  <c r="P21" i="36"/>
  <c r="P22" i="36"/>
  <c r="P23" i="36"/>
  <c r="P24" i="36"/>
  <c r="P25" i="36"/>
  <c r="P26" i="36"/>
  <c r="P27" i="36"/>
  <c r="P28" i="36"/>
  <c r="P29" i="36"/>
  <c r="P30" i="36"/>
  <c r="P31" i="36"/>
  <c r="P32" i="36"/>
  <c r="P33" i="36"/>
  <c r="P34" i="36"/>
  <c r="P35" i="36"/>
  <c r="P36" i="36"/>
  <c r="P37" i="36"/>
  <c r="P21" i="35"/>
  <c r="P23" i="35"/>
  <c r="P24" i="35"/>
  <c r="P25" i="35"/>
  <c r="P26" i="35"/>
  <c r="P27" i="35"/>
  <c r="P28" i="35"/>
  <c r="P29" i="35"/>
  <c r="P30" i="35"/>
  <c r="P31" i="35"/>
  <c r="P32" i="35"/>
  <c r="R22" i="34"/>
  <c r="R23" i="34"/>
  <c r="R24" i="34"/>
  <c r="R25" i="34"/>
  <c r="R26" i="34"/>
  <c r="R27" i="34"/>
  <c r="R28" i="34"/>
  <c r="R29" i="34"/>
  <c r="R30" i="34"/>
  <c r="R31" i="34"/>
  <c r="R32" i="34"/>
  <c r="R33" i="34"/>
  <c r="I21" i="36"/>
  <c r="I22" i="36"/>
  <c r="I23" i="36"/>
  <c r="I24" i="36"/>
  <c r="I25" i="36"/>
  <c r="I26" i="36"/>
  <c r="I27" i="36"/>
  <c r="I28" i="36"/>
  <c r="I29" i="36"/>
  <c r="I30" i="36"/>
  <c r="I31" i="36"/>
  <c r="I32" i="36"/>
  <c r="I21" i="35"/>
  <c r="M21" i="35" s="1"/>
  <c r="I22" i="35"/>
  <c r="M22" i="35" s="1"/>
  <c r="I23" i="35"/>
  <c r="I24" i="35"/>
  <c r="M24" i="35" s="1"/>
  <c r="I25" i="35"/>
  <c r="M25" i="35" s="1"/>
  <c r="I26" i="35"/>
  <c r="I27" i="35"/>
  <c r="M27" i="35" s="1"/>
  <c r="I28" i="35"/>
  <c r="M28" i="35" s="1"/>
  <c r="B49" i="42" s="1"/>
  <c r="I29" i="35"/>
  <c r="I30" i="35"/>
  <c r="M30" i="35" s="1"/>
  <c r="I31" i="35"/>
  <c r="M31" i="35" s="1"/>
  <c r="I32" i="35"/>
  <c r="C20" i="25"/>
  <c r="B14" i="45"/>
  <c r="B15" i="45"/>
  <c r="B16" i="45"/>
  <c r="B13" i="45"/>
  <c r="I19" i="35"/>
  <c r="M19" i="35" s="1"/>
  <c r="I16" i="35"/>
  <c r="I15" i="35"/>
  <c r="M15" i="35" s="1"/>
  <c r="J23" i="24"/>
  <c r="T10" i="41"/>
  <c r="T9" i="41"/>
  <c r="T8" i="41"/>
  <c r="T7" i="41"/>
  <c r="T16" i="41" s="1"/>
  <c r="J20" i="24"/>
  <c r="B7" i="39"/>
  <c r="Z10" i="41"/>
  <c r="E103" i="42" s="1"/>
  <c r="Z7" i="41"/>
  <c r="M103" i="42"/>
  <c r="L103" i="42"/>
  <c r="B103" i="42"/>
  <c r="AB19" i="41"/>
  <c r="AB20" i="41"/>
  <c r="AB21" i="41"/>
  <c r="AB22" i="41"/>
  <c r="AB23" i="41"/>
  <c r="AB24" i="41"/>
  <c r="AB18" i="41"/>
  <c r="AH21" i="41"/>
  <c r="AH22" i="41"/>
  <c r="AH23" i="41"/>
  <c r="AH24" i="41"/>
  <c r="AH25" i="41"/>
  <c r="AH26" i="41"/>
  <c r="AH20" i="41"/>
  <c r="H15" i="24"/>
  <c r="AL6" i="41"/>
  <c r="AR6" i="41"/>
  <c r="AF7" i="41"/>
  <c r="AF20" i="41" s="1"/>
  <c r="AL7" i="41"/>
  <c r="AQ7" i="41"/>
  <c r="AQ16" i="41" s="1"/>
  <c r="AF8" i="41"/>
  <c r="AL8" i="41"/>
  <c r="AQ8" i="41"/>
  <c r="AL9" i="41"/>
  <c r="AL17" i="41" s="1"/>
  <c r="AQ9" i="41"/>
  <c r="M68" i="45"/>
  <c r="M69" i="45" s="1"/>
  <c r="I68" i="45"/>
  <c r="E68" i="45"/>
  <c r="C43" i="25"/>
  <c r="C40" i="25"/>
  <c r="C42" i="25"/>
  <c r="C39" i="25"/>
  <c r="A43" i="40"/>
  <c r="A39" i="40"/>
  <c r="A40" i="40"/>
  <c r="A41" i="40"/>
  <c r="A42" i="40"/>
  <c r="A39" i="39"/>
  <c r="A40" i="39"/>
  <c r="A41" i="39"/>
  <c r="A42" i="39"/>
  <c r="A43" i="39"/>
  <c r="A39" i="25"/>
  <c r="A40" i="25"/>
  <c r="A41" i="25"/>
  <c r="A42" i="25"/>
  <c r="A43" i="25"/>
  <c r="A44" i="25"/>
  <c r="A45" i="25"/>
  <c r="A46" i="25"/>
  <c r="A38" i="40"/>
  <c r="A35" i="40"/>
  <c r="A36" i="40"/>
  <c r="A37" i="40"/>
  <c r="A27" i="39"/>
  <c r="A38" i="39"/>
  <c r="A37" i="39"/>
  <c r="A36" i="39"/>
  <c r="A35" i="39"/>
  <c r="A34" i="39"/>
  <c r="A33" i="39"/>
  <c r="A32" i="39"/>
  <c r="A31" i="39"/>
  <c r="A30" i="39"/>
  <c r="A29" i="39"/>
  <c r="A28" i="39"/>
  <c r="A38" i="25"/>
  <c r="A37" i="25"/>
  <c r="A36" i="25"/>
  <c r="A4" i="40"/>
  <c r="A4" i="39"/>
  <c r="A4" i="25"/>
  <c r="C5" i="8"/>
  <c r="A110" i="32"/>
  <c r="A68" i="32"/>
  <c r="A25" i="32"/>
  <c r="A4" i="32"/>
  <c r="A4" i="7"/>
  <c r="A4" i="36"/>
  <c r="A4" i="35"/>
  <c r="C4" i="34"/>
  <c r="A4" i="41"/>
  <c r="A3" i="24"/>
  <c r="A5" i="4"/>
  <c r="P20" i="40"/>
  <c r="Q20" i="40" s="1"/>
  <c r="H9" i="41"/>
  <c r="N9" i="41"/>
  <c r="N10" i="41"/>
  <c r="H10" i="41"/>
  <c r="A17" i="33"/>
  <c r="A18" i="33"/>
  <c r="A19" i="33"/>
  <c r="G23" i="33"/>
  <c r="A30" i="33"/>
  <c r="A34" i="33"/>
  <c r="H46" i="33"/>
  <c r="J18" i="24"/>
  <c r="J19" i="24"/>
  <c r="J21" i="24"/>
  <c r="J22" i="24"/>
  <c r="AQ10" i="41"/>
  <c r="AT16" i="41" s="1"/>
  <c r="J25" i="24"/>
  <c r="C26" i="24"/>
  <c r="C19" i="25" s="1"/>
  <c r="D19" i="25" s="1"/>
  <c r="C31" i="24"/>
  <c r="F12" i="4"/>
  <c r="I12" i="4" s="1"/>
  <c r="F13" i="4"/>
  <c r="I13" i="4"/>
  <c r="F14" i="4"/>
  <c r="I14" i="4" s="1"/>
  <c r="F15" i="4"/>
  <c r="F16" i="4"/>
  <c r="I16" i="4" s="1"/>
  <c r="F17" i="4"/>
  <c r="I17" i="4" s="1"/>
  <c r="F18" i="4"/>
  <c r="I18" i="4" s="1"/>
  <c r="F19" i="4"/>
  <c r="I19" i="4" s="1"/>
  <c r="F20" i="4"/>
  <c r="I20" i="4" s="1"/>
  <c r="F21" i="4"/>
  <c r="G21" i="4" s="1"/>
  <c r="F22" i="4"/>
  <c r="G22" i="4" s="1"/>
  <c r="F26" i="4"/>
  <c r="F27" i="4"/>
  <c r="G27" i="4"/>
  <c r="F28" i="4"/>
  <c r="G28" i="4" s="1"/>
  <c r="F31" i="4"/>
  <c r="G31" i="4" s="1"/>
  <c r="F32" i="4"/>
  <c r="D13" i="25"/>
  <c r="C25" i="25"/>
  <c r="A27" i="25"/>
  <c r="C27" i="25"/>
  <c r="A28" i="25"/>
  <c r="C28" i="25"/>
  <c r="A29" i="25"/>
  <c r="C29" i="25"/>
  <c r="A30" i="25"/>
  <c r="C30" i="25"/>
  <c r="A31" i="25"/>
  <c r="C31" i="25"/>
  <c r="A32" i="25"/>
  <c r="C32" i="25"/>
  <c r="A33" i="25"/>
  <c r="C33" i="25"/>
  <c r="A34" i="25"/>
  <c r="C34" i="25"/>
  <c r="A35" i="25"/>
  <c r="C35" i="25"/>
  <c r="C36" i="25"/>
  <c r="C37" i="25"/>
  <c r="C38" i="25"/>
  <c r="P44" i="25"/>
  <c r="Q44" i="25" s="1"/>
  <c r="P45" i="25"/>
  <c r="Q45" i="25" s="1"/>
  <c r="P46" i="25"/>
  <c r="Q46" i="25" s="1"/>
  <c r="C56" i="25"/>
  <c r="B8" i="39"/>
  <c r="B9" i="39"/>
  <c r="B10" i="39"/>
  <c r="B11" i="39"/>
  <c r="D13" i="39"/>
  <c r="P20" i="39"/>
  <c r="Q20" i="39" s="1"/>
  <c r="C25" i="39"/>
  <c r="P44" i="39"/>
  <c r="Q44" i="39" s="1"/>
  <c r="P45" i="39"/>
  <c r="Q45" i="39" s="1"/>
  <c r="P46" i="39"/>
  <c r="Q46" i="39" s="1"/>
  <c r="B7" i="40"/>
  <c r="B8" i="40"/>
  <c r="B9" i="40"/>
  <c r="B10" i="40"/>
  <c r="B11" i="40"/>
  <c r="D13" i="40"/>
  <c r="B140" i="42" s="1"/>
  <c r="C25" i="40"/>
  <c r="A27" i="40"/>
  <c r="A28" i="40"/>
  <c r="A29" i="40"/>
  <c r="A30" i="40"/>
  <c r="A31" i="40"/>
  <c r="A32" i="40"/>
  <c r="A33" i="40"/>
  <c r="A34" i="40"/>
  <c r="P44" i="40"/>
  <c r="Q44" i="40" s="1"/>
  <c r="P45" i="40"/>
  <c r="Q45" i="40" s="1"/>
  <c r="P46" i="40"/>
  <c r="Q46" i="40" s="1"/>
  <c r="K4" i="34"/>
  <c r="M4" i="34"/>
  <c r="I4" i="48" s="1"/>
  <c r="E9" i="34"/>
  <c r="R15" i="34"/>
  <c r="R16" i="34"/>
  <c r="R17" i="34"/>
  <c r="R18" i="34"/>
  <c r="R19" i="34"/>
  <c r="R20" i="34"/>
  <c r="R21" i="34"/>
  <c r="R34" i="34"/>
  <c r="R35" i="34"/>
  <c r="R36" i="34"/>
  <c r="R37" i="34"/>
  <c r="R38" i="34"/>
  <c r="E39" i="34"/>
  <c r="M39" i="34"/>
  <c r="N39" i="34"/>
  <c r="O45" i="34"/>
  <c r="I4" i="35"/>
  <c r="P15" i="35"/>
  <c r="P16" i="35"/>
  <c r="I17" i="35"/>
  <c r="M17" i="35" s="1"/>
  <c r="P17" i="35"/>
  <c r="I18" i="35"/>
  <c r="M18" i="35" s="1"/>
  <c r="P18" i="35"/>
  <c r="P19" i="35"/>
  <c r="I20" i="35"/>
  <c r="P20" i="35"/>
  <c r="I33" i="35"/>
  <c r="P33" i="35"/>
  <c r="I34" i="35"/>
  <c r="M34" i="35" s="1"/>
  <c r="P34" i="35"/>
  <c r="P35" i="35"/>
  <c r="I36" i="35"/>
  <c r="J36" i="35" s="1"/>
  <c r="M36" i="35" s="1"/>
  <c r="P36" i="35"/>
  <c r="I37" i="35"/>
  <c r="J37" i="35" s="1"/>
  <c r="P37" i="35"/>
  <c r="I38" i="35"/>
  <c r="J38" i="35" s="1"/>
  <c r="P38" i="35"/>
  <c r="C39" i="35"/>
  <c r="K39" i="35"/>
  <c r="L39" i="35"/>
  <c r="I4" i="36"/>
  <c r="AG7" i="36"/>
  <c r="I15" i="36"/>
  <c r="P15" i="36"/>
  <c r="I16" i="36"/>
  <c r="P16" i="36"/>
  <c r="I17" i="36"/>
  <c r="P17" i="36"/>
  <c r="I18" i="36"/>
  <c r="M18" i="36" s="1"/>
  <c r="P18" i="36"/>
  <c r="I19" i="36"/>
  <c r="M19" i="36" s="1"/>
  <c r="P19" i="36"/>
  <c r="I20" i="36"/>
  <c r="P20" i="36"/>
  <c r="I33" i="36"/>
  <c r="I34" i="36"/>
  <c r="I36" i="36"/>
  <c r="J36" i="36" s="1"/>
  <c r="M36" i="36" s="1"/>
  <c r="I37" i="36"/>
  <c r="J37" i="36" s="1"/>
  <c r="I38" i="36"/>
  <c r="J38" i="36" s="1"/>
  <c r="M38" i="36" s="1"/>
  <c r="P38" i="36"/>
  <c r="C39" i="36"/>
  <c r="K39" i="36"/>
  <c r="L39" i="36"/>
  <c r="M45" i="36"/>
  <c r="F24" i="8"/>
  <c r="H24" i="8"/>
  <c r="J24" i="8"/>
  <c r="F25" i="8"/>
  <c r="H25" i="8"/>
  <c r="J25" i="8"/>
  <c r="F26" i="8"/>
  <c r="H26" i="8"/>
  <c r="J26" i="8"/>
  <c r="F27" i="8"/>
  <c r="H27" i="8"/>
  <c r="J27" i="8"/>
  <c r="D30" i="32"/>
  <c r="I30" i="32"/>
  <c r="N30" i="32"/>
  <c r="F55" i="32"/>
  <c r="D76" i="32"/>
  <c r="D81" i="32" s="1"/>
  <c r="O77" i="32"/>
  <c r="O78" i="32"/>
  <c r="D80" i="32"/>
  <c r="D89" i="32"/>
  <c r="D90" i="32" s="1"/>
  <c r="I112" i="32"/>
  <c r="I114" i="32"/>
  <c r="I115" i="32"/>
  <c r="N115" i="32"/>
  <c r="I116" i="32"/>
  <c r="I117" i="32"/>
  <c r="N117" i="32"/>
  <c r="I118" i="32"/>
  <c r="I119" i="32"/>
  <c r="I120" i="32"/>
  <c r="I121" i="32"/>
  <c r="I122" i="32"/>
  <c r="I123" i="32"/>
  <c r="A124" i="32"/>
  <c r="C125" i="32"/>
  <c r="B129" i="32"/>
  <c r="D128" i="32" s="1"/>
  <c r="F129" i="32"/>
  <c r="H128" i="32" s="1"/>
  <c r="J129" i="32"/>
  <c r="L128" i="32" s="1"/>
  <c r="A130" i="32"/>
  <c r="B130" i="32"/>
  <c r="F130" i="32" s="1"/>
  <c r="J130" i="32" s="1"/>
  <c r="L130" i="32" s="1"/>
  <c r="A131" i="32"/>
  <c r="B131" i="32"/>
  <c r="D131" i="32" s="1"/>
  <c r="A132" i="32"/>
  <c r="B132" i="32"/>
  <c r="D132" i="32" s="1"/>
  <c r="A133" i="32"/>
  <c r="B133" i="32"/>
  <c r="D133" i="32" s="1"/>
  <c r="F133" i="32"/>
  <c r="J133" i="32" s="1"/>
  <c r="L133" i="32" s="1"/>
  <c r="A134" i="32"/>
  <c r="B134" i="32"/>
  <c r="D134" i="32" s="1"/>
  <c r="F134" i="32"/>
  <c r="H134" i="32" s="1"/>
  <c r="A135" i="32"/>
  <c r="B135" i="32"/>
  <c r="D135" i="32" s="1"/>
  <c r="A136" i="32"/>
  <c r="B136" i="32"/>
  <c r="D136" i="32" s="1"/>
  <c r="F136" i="32"/>
  <c r="H136" i="32" s="1"/>
  <c r="A137" i="32"/>
  <c r="B137" i="32"/>
  <c r="D137" i="32" s="1"/>
  <c r="A138" i="32"/>
  <c r="B138" i="32"/>
  <c r="D138" i="32" s="1"/>
  <c r="A139" i="32"/>
  <c r="B139" i="32"/>
  <c r="D139" i="32" s="1"/>
  <c r="F139" i="32"/>
  <c r="H139" i="32" s="1"/>
  <c r="G26" i="28"/>
  <c r="F35" i="28"/>
  <c r="H35" i="28"/>
  <c r="J35" i="28"/>
  <c r="F53" i="28"/>
  <c r="F54" i="28"/>
  <c r="F56" i="28"/>
  <c r="H56" i="28"/>
  <c r="H57" i="28" s="1"/>
  <c r="J62" i="28"/>
  <c r="F63" i="28"/>
  <c r="F68" i="28" s="1"/>
  <c r="J65" i="28"/>
  <c r="E67" i="28"/>
  <c r="H67" i="28" s="1"/>
  <c r="H68" i="28" s="1"/>
  <c r="H6" i="41"/>
  <c r="N6" i="41"/>
  <c r="H7" i="41"/>
  <c r="H16" i="41" s="1"/>
  <c r="N7" i="41"/>
  <c r="N16" i="41" s="1"/>
  <c r="H8" i="41"/>
  <c r="N8" i="41"/>
  <c r="AF14" i="41"/>
  <c r="AH28" i="41" s="1"/>
  <c r="K103" i="42"/>
  <c r="I103" i="42"/>
  <c r="C103" i="42"/>
  <c r="Z12" i="41"/>
  <c r="G25" i="28"/>
  <c r="G23" i="28"/>
  <c r="G22" i="28"/>
  <c r="G21" i="28"/>
  <c r="G20" i="28"/>
  <c r="G19" i="28"/>
  <c r="G17" i="28"/>
  <c r="G18" i="28"/>
  <c r="G16" i="28"/>
  <c r="G14" i="28"/>
  <c r="G18" i="4"/>
  <c r="P49" i="40"/>
  <c r="Q49" i="40" s="1"/>
  <c r="G24" i="28"/>
  <c r="I71" i="45"/>
  <c r="G19" i="4"/>
  <c r="D12" i="24"/>
  <c r="D35" i="24"/>
  <c r="D36" i="24"/>
  <c r="D34" i="24"/>
  <c r="E70" i="45"/>
  <c r="P22" i="35"/>
  <c r="G13" i="4"/>
  <c r="D30" i="24"/>
  <c r="D29" i="24"/>
  <c r="I30" i="25" l="1"/>
  <c r="H19" i="48" s="1"/>
  <c r="D163" i="42"/>
  <c r="F30" i="39" s="1"/>
  <c r="F163" i="42"/>
  <c r="E163" i="42"/>
  <c r="J163" i="42"/>
  <c r="L30" i="39" s="1"/>
  <c r="K163" i="42"/>
  <c r="M30" i="39" s="1"/>
  <c r="G163" i="42"/>
  <c r="I30" i="39" s="1"/>
  <c r="I163" i="42"/>
  <c r="K30" i="39" s="1"/>
  <c r="M163" i="42"/>
  <c r="O30" i="39" s="1"/>
  <c r="B163" i="42"/>
  <c r="D30" i="39" s="1"/>
  <c r="C163" i="42"/>
  <c r="E30" i="39" s="1"/>
  <c r="H163" i="42"/>
  <c r="J30" i="39" s="1"/>
  <c r="L163" i="42"/>
  <c r="H117" i="42"/>
  <c r="I21" i="4"/>
  <c r="G103" i="42"/>
  <c r="O87" i="32"/>
  <c r="H168" i="42"/>
  <c r="J168" i="42"/>
  <c r="J103" i="42"/>
  <c r="E172" i="42"/>
  <c r="F103" i="42"/>
  <c r="I110" i="42"/>
  <c r="H103" i="42"/>
  <c r="D32" i="25"/>
  <c r="C21" i="48" s="1"/>
  <c r="D43" i="25"/>
  <c r="C33" i="48" s="1"/>
  <c r="D103" i="42"/>
  <c r="D164" i="42"/>
  <c r="L164" i="42"/>
  <c r="J27" i="25"/>
  <c r="I16" i="48" s="1"/>
  <c r="D27" i="25"/>
  <c r="C16" i="48" s="1"/>
  <c r="G30" i="39"/>
  <c r="N30" i="39"/>
  <c r="H30" i="39"/>
  <c r="E147" i="42"/>
  <c r="E26" i="7"/>
  <c r="C42" i="39" s="1"/>
  <c r="D42" i="39" s="1"/>
  <c r="E14" i="7"/>
  <c r="C31" i="39" s="1"/>
  <c r="B164" i="42" s="1"/>
  <c r="E28" i="7"/>
  <c r="E23" i="7"/>
  <c r="C39" i="39" s="1"/>
  <c r="F172" i="42" s="1"/>
  <c r="E11" i="7"/>
  <c r="C28" i="39" s="1"/>
  <c r="E161" i="42" s="1"/>
  <c r="E27" i="7"/>
  <c r="P172" i="42" s="1"/>
  <c r="E15" i="7"/>
  <c r="C32" i="39" s="1"/>
  <c r="C165" i="42" s="1"/>
  <c r="E22" i="7"/>
  <c r="C38" i="39" s="1"/>
  <c r="C171" i="42" s="1"/>
  <c r="E29" i="7"/>
  <c r="E24" i="7"/>
  <c r="C40" i="39" s="1"/>
  <c r="L173" i="42" s="1"/>
  <c r="E21" i="7"/>
  <c r="C37" i="39" s="1"/>
  <c r="L170" i="42" s="1"/>
  <c r="E19" i="7"/>
  <c r="C35" i="39" s="1"/>
  <c r="B168" i="42" s="1"/>
  <c r="E12" i="7"/>
  <c r="C29" i="39" s="1"/>
  <c r="E162" i="42" s="1"/>
  <c r="E20" i="7"/>
  <c r="C36" i="39" s="1"/>
  <c r="B169" i="42" s="1"/>
  <c r="E17" i="7"/>
  <c r="C33" i="39" s="1"/>
  <c r="E166" i="42" s="1"/>
  <c r="C27" i="39"/>
  <c r="B160" i="42" s="1"/>
  <c r="E18" i="7"/>
  <c r="C34" i="39" s="1"/>
  <c r="M167" i="42" s="1"/>
  <c r="H133" i="32"/>
  <c r="D82" i="32"/>
  <c r="D83" i="32" s="1"/>
  <c r="C36" i="4"/>
  <c r="M70" i="45"/>
  <c r="C49" i="25"/>
  <c r="C52" i="25" s="1"/>
  <c r="K11" i="8"/>
  <c r="H147" i="42"/>
  <c r="H151" i="42" s="1"/>
  <c r="H153" i="42" s="1"/>
  <c r="L16" i="40" s="1"/>
  <c r="G18" i="8"/>
  <c r="B147" i="42"/>
  <c r="F131" i="32"/>
  <c r="H131" i="32" s="1"/>
  <c r="F29" i="4"/>
  <c r="B27" i="40"/>
  <c r="C3" i="42"/>
  <c r="B3" i="42"/>
  <c r="J90" i="42"/>
  <c r="B90" i="42"/>
  <c r="H90" i="42"/>
  <c r="E90" i="42"/>
  <c r="C90" i="42"/>
  <c r="F90" i="42"/>
  <c r="L90" i="42"/>
  <c r="I90" i="42"/>
  <c r="G90" i="42"/>
  <c r="D90" i="42"/>
  <c r="M90" i="42"/>
  <c r="K90" i="42"/>
  <c r="X18" i="36"/>
  <c r="F72" i="42"/>
  <c r="J72" i="42"/>
  <c r="I72" i="42"/>
  <c r="B72" i="42"/>
  <c r="K72" i="42"/>
  <c r="L72" i="42"/>
  <c r="E72" i="42"/>
  <c r="H72" i="42"/>
  <c r="M72" i="42"/>
  <c r="G72" i="42"/>
  <c r="C72" i="42"/>
  <c r="D72" i="42"/>
  <c r="X38" i="36"/>
  <c r="M92" i="42"/>
  <c r="L92" i="42"/>
  <c r="E92" i="42"/>
  <c r="I92" i="42"/>
  <c r="B92" i="42"/>
  <c r="F92" i="42"/>
  <c r="J92" i="42"/>
  <c r="K92" i="42"/>
  <c r="C92" i="42"/>
  <c r="G92" i="42"/>
  <c r="D92" i="42"/>
  <c r="H92" i="42"/>
  <c r="F73" i="42"/>
  <c r="I73" i="42"/>
  <c r="L73" i="42"/>
  <c r="M73" i="42"/>
  <c r="J73" i="42"/>
  <c r="B73" i="42"/>
  <c r="E73" i="42"/>
  <c r="H73" i="42"/>
  <c r="K73" i="42"/>
  <c r="C73" i="42"/>
  <c r="G73" i="42"/>
  <c r="D73" i="42"/>
  <c r="E55" i="42"/>
  <c r="C55" i="42"/>
  <c r="F55" i="42"/>
  <c r="H55" i="42"/>
  <c r="D55" i="42"/>
  <c r="B55" i="42"/>
  <c r="G55" i="42"/>
  <c r="G57" i="42"/>
  <c r="B57" i="42"/>
  <c r="D57" i="42"/>
  <c r="F57" i="42"/>
  <c r="E57" i="42"/>
  <c r="I57" i="42"/>
  <c r="C57" i="42"/>
  <c r="H57" i="42"/>
  <c r="C38" i="42"/>
  <c r="B38" i="42"/>
  <c r="C46" i="42"/>
  <c r="I46" i="42"/>
  <c r="H46" i="42"/>
  <c r="F46" i="42"/>
  <c r="J46" i="42"/>
  <c r="E46" i="42"/>
  <c r="G46" i="42"/>
  <c r="K46" i="42"/>
  <c r="B46" i="42"/>
  <c r="D46" i="42"/>
  <c r="G42" i="42"/>
  <c r="B42" i="42"/>
  <c r="E42" i="42"/>
  <c r="C42" i="42"/>
  <c r="D42" i="42"/>
  <c r="F42" i="42"/>
  <c r="F45" i="42"/>
  <c r="B45" i="42"/>
  <c r="I45" i="42"/>
  <c r="D45" i="42"/>
  <c r="G45" i="42"/>
  <c r="E45" i="42"/>
  <c r="J45" i="42"/>
  <c r="C45" i="42"/>
  <c r="H45" i="42"/>
  <c r="B52" i="42"/>
  <c r="E52" i="42"/>
  <c r="D52" i="42"/>
  <c r="C52" i="42"/>
  <c r="E40" i="42"/>
  <c r="D40" i="42"/>
  <c r="C40" i="42"/>
  <c r="B40" i="42"/>
  <c r="B51" i="42"/>
  <c r="D51" i="42"/>
  <c r="C51" i="42"/>
  <c r="E43" i="42"/>
  <c r="F43" i="42"/>
  <c r="C43" i="42"/>
  <c r="B43" i="42"/>
  <c r="D43" i="42"/>
  <c r="G43" i="42"/>
  <c r="H43" i="42"/>
  <c r="H24" i="42"/>
  <c r="D24" i="42"/>
  <c r="C24" i="42"/>
  <c r="F24" i="42"/>
  <c r="B24" i="42"/>
  <c r="G24" i="42"/>
  <c r="I24" i="42"/>
  <c r="E24" i="42"/>
  <c r="H12" i="42"/>
  <c r="J12" i="42"/>
  <c r="C12" i="42"/>
  <c r="B12" i="42"/>
  <c r="G12" i="42"/>
  <c r="F12" i="42"/>
  <c r="I12" i="42"/>
  <c r="E12" i="42"/>
  <c r="D12" i="42"/>
  <c r="B6" i="42"/>
  <c r="D6" i="42"/>
  <c r="C6" i="42"/>
  <c r="B5" i="42"/>
  <c r="C5" i="42"/>
  <c r="D8" i="42"/>
  <c r="F8" i="42"/>
  <c r="B8" i="42"/>
  <c r="E8" i="42"/>
  <c r="C8" i="42"/>
  <c r="C10" i="42"/>
  <c r="F10" i="42"/>
  <c r="H10" i="42"/>
  <c r="E10" i="42"/>
  <c r="G10" i="42"/>
  <c r="D10" i="42"/>
  <c r="D39" i="42"/>
  <c r="C39" i="42"/>
  <c r="B39" i="42"/>
  <c r="M57" i="42"/>
  <c r="L57" i="42"/>
  <c r="J57" i="42"/>
  <c r="K57" i="42"/>
  <c r="K48" i="42"/>
  <c r="C48" i="42"/>
  <c r="I48" i="42"/>
  <c r="J48" i="42"/>
  <c r="M48" i="42"/>
  <c r="G48" i="42"/>
  <c r="H48" i="42"/>
  <c r="F48" i="42"/>
  <c r="B48" i="42"/>
  <c r="E48" i="42"/>
  <c r="D48" i="42"/>
  <c r="L48" i="42"/>
  <c r="K55" i="42"/>
  <c r="L55" i="42"/>
  <c r="J55" i="42"/>
  <c r="M55" i="42"/>
  <c r="I55" i="42"/>
  <c r="F40" i="42"/>
  <c r="G40" i="42"/>
  <c r="K40" i="42"/>
  <c r="H40" i="42"/>
  <c r="L40" i="42"/>
  <c r="I40" i="42"/>
  <c r="J40" i="42"/>
  <c r="M40" i="42"/>
  <c r="K51" i="42"/>
  <c r="F51" i="42"/>
  <c r="M51" i="42"/>
  <c r="G51" i="42"/>
  <c r="I51" i="42"/>
  <c r="E51" i="42"/>
  <c r="J51" i="42"/>
  <c r="L51" i="42"/>
  <c r="H51" i="42"/>
  <c r="J43" i="42"/>
  <c r="L43" i="42"/>
  <c r="M43" i="42"/>
  <c r="I43" i="42"/>
  <c r="K43" i="42"/>
  <c r="L39" i="42"/>
  <c r="M39" i="42"/>
  <c r="K39" i="42"/>
  <c r="G39" i="42"/>
  <c r="I39" i="42"/>
  <c r="J39" i="42"/>
  <c r="E39" i="42"/>
  <c r="F39" i="42"/>
  <c r="H39" i="42"/>
  <c r="J52" i="42"/>
  <c r="M52" i="42"/>
  <c r="F52" i="42"/>
  <c r="H52" i="42"/>
  <c r="K52" i="42"/>
  <c r="L52" i="42"/>
  <c r="G52" i="42"/>
  <c r="I52" i="42"/>
  <c r="I38" i="42"/>
  <c r="J38" i="42"/>
  <c r="D38" i="42"/>
  <c r="H38" i="42"/>
  <c r="F38" i="42"/>
  <c r="M38" i="42"/>
  <c r="G38" i="42"/>
  <c r="L38" i="42"/>
  <c r="E38" i="42"/>
  <c r="K38" i="42"/>
  <c r="M46" i="42"/>
  <c r="L46" i="42"/>
  <c r="M42" i="42"/>
  <c r="I42" i="42"/>
  <c r="L42" i="42"/>
  <c r="K42" i="42"/>
  <c r="J42" i="42"/>
  <c r="H42" i="42"/>
  <c r="H49" i="42"/>
  <c r="E49" i="42"/>
  <c r="F49" i="42"/>
  <c r="I49" i="42"/>
  <c r="C49" i="42"/>
  <c r="G49" i="42"/>
  <c r="K49" i="42"/>
  <c r="J49" i="42"/>
  <c r="D49" i="42"/>
  <c r="M49" i="42"/>
  <c r="L49" i="42"/>
  <c r="K45" i="42"/>
  <c r="M45" i="42"/>
  <c r="L45" i="42"/>
  <c r="I36" i="42"/>
  <c r="E36" i="42"/>
  <c r="L36" i="42"/>
  <c r="B36" i="42"/>
  <c r="M36" i="42"/>
  <c r="J36" i="42"/>
  <c r="F36" i="42"/>
  <c r="C36" i="42"/>
  <c r="D36" i="42"/>
  <c r="G36" i="42"/>
  <c r="H36" i="42"/>
  <c r="K36" i="42"/>
  <c r="M34" i="36"/>
  <c r="M31" i="36"/>
  <c r="M26" i="36"/>
  <c r="M37" i="36"/>
  <c r="M33" i="36"/>
  <c r="M30" i="36"/>
  <c r="M28" i="36"/>
  <c r="M25" i="36"/>
  <c r="M22" i="36"/>
  <c r="B76" i="42" s="1"/>
  <c r="M24" i="36"/>
  <c r="M20" i="36"/>
  <c r="M32" i="36"/>
  <c r="M29" i="36"/>
  <c r="M27" i="36"/>
  <c r="B81" i="42" s="1"/>
  <c r="M23" i="36"/>
  <c r="M21" i="36"/>
  <c r="M17" i="36"/>
  <c r="M16" i="36"/>
  <c r="B70" i="42" s="1"/>
  <c r="M15" i="36"/>
  <c r="C14" i="39"/>
  <c r="M44" i="35"/>
  <c r="M38" i="35"/>
  <c r="M37" i="35"/>
  <c r="M16" i="35"/>
  <c r="B37" i="42" s="1"/>
  <c r="M20" i="35"/>
  <c r="M26" i="35"/>
  <c r="M33" i="35"/>
  <c r="B54" i="42" s="1"/>
  <c r="M32" i="35"/>
  <c r="M29" i="35"/>
  <c r="M23" i="35"/>
  <c r="K3" i="42"/>
  <c r="J3" i="42"/>
  <c r="D3" i="42"/>
  <c r="L3" i="42"/>
  <c r="I3" i="42"/>
  <c r="G3" i="42"/>
  <c r="F3" i="42"/>
  <c r="E3" i="42"/>
  <c r="M3" i="42"/>
  <c r="H3" i="42"/>
  <c r="L12" i="42"/>
  <c r="K12" i="42"/>
  <c r="M12" i="42"/>
  <c r="J4" i="42"/>
  <c r="K4" i="42"/>
  <c r="C4" i="42"/>
  <c r="F4" i="42"/>
  <c r="M4" i="42"/>
  <c r="H4" i="42"/>
  <c r="I4" i="42"/>
  <c r="D4" i="42"/>
  <c r="G4" i="42"/>
  <c r="E4" i="42"/>
  <c r="L4" i="42"/>
  <c r="M5" i="42"/>
  <c r="F5" i="42"/>
  <c r="I5" i="42"/>
  <c r="J5" i="42"/>
  <c r="E5" i="42"/>
  <c r="H5" i="42"/>
  <c r="L5" i="42"/>
  <c r="G5" i="42"/>
  <c r="K5" i="42"/>
  <c r="D5" i="42"/>
  <c r="G8" i="42"/>
  <c r="K8" i="42"/>
  <c r="J8" i="42"/>
  <c r="L8" i="42"/>
  <c r="M8" i="42"/>
  <c r="H8" i="42"/>
  <c r="I8" i="42"/>
  <c r="K10" i="42"/>
  <c r="J10" i="42"/>
  <c r="I10" i="42"/>
  <c r="M10" i="42"/>
  <c r="L10" i="42"/>
  <c r="M6" i="42"/>
  <c r="K6" i="42"/>
  <c r="J6" i="42"/>
  <c r="I6" i="42"/>
  <c r="G6" i="42"/>
  <c r="F6" i="42"/>
  <c r="H6" i="42"/>
  <c r="E6" i="42"/>
  <c r="L6" i="42"/>
  <c r="C26" i="42"/>
  <c r="O34" i="34"/>
  <c r="O31" i="34"/>
  <c r="O27" i="34"/>
  <c r="J24" i="42"/>
  <c r="O32" i="34"/>
  <c r="O29" i="34"/>
  <c r="O28" i="34"/>
  <c r="B16" i="42" s="1"/>
  <c r="B25" i="42"/>
  <c r="O33" i="34"/>
  <c r="O30" i="34"/>
  <c r="O23" i="34"/>
  <c r="O19" i="34"/>
  <c r="O25" i="34"/>
  <c r="O21" i="34"/>
  <c r="O26" i="34"/>
  <c r="B14" i="42" s="1"/>
  <c r="D35" i="32"/>
  <c r="J37" i="28"/>
  <c r="J43" i="28" s="1"/>
  <c r="G20" i="4"/>
  <c r="D91" i="32"/>
  <c r="I15" i="4"/>
  <c r="I24" i="4" s="1"/>
  <c r="AB27" i="41"/>
  <c r="F37" i="28"/>
  <c r="F43" i="28" s="1"/>
  <c r="D34" i="32"/>
  <c r="D92" i="32"/>
  <c r="N32" i="32"/>
  <c r="H37" i="28"/>
  <c r="H43" i="28" s="1"/>
  <c r="G12" i="4"/>
  <c r="F24" i="4"/>
  <c r="I72" i="45"/>
  <c r="N35" i="32"/>
  <c r="K35" i="28"/>
  <c r="E72" i="45"/>
  <c r="E71" i="45"/>
  <c r="X36" i="36"/>
  <c r="I124" i="32"/>
  <c r="B141" i="32"/>
  <c r="F138" i="32"/>
  <c r="F135" i="32"/>
  <c r="J134" i="32"/>
  <c r="L134" i="32" s="1"/>
  <c r="F132" i="32"/>
  <c r="H130" i="32"/>
  <c r="J139" i="32"/>
  <c r="L139" i="32" s="1"/>
  <c r="F137" i="32"/>
  <c r="J136" i="32"/>
  <c r="L136" i="32" s="1"/>
  <c r="X19" i="36"/>
  <c r="AM17" i="41"/>
  <c r="AN17" i="41" s="1"/>
  <c r="E110" i="42"/>
  <c r="AL20" i="41"/>
  <c r="AM20" i="41" s="1"/>
  <c r="AN20" i="41" s="1"/>
  <c r="AH34" i="41"/>
  <c r="G110" i="42"/>
  <c r="AH33" i="41"/>
  <c r="N103" i="42"/>
  <c r="C7" i="41"/>
  <c r="J27" i="24"/>
  <c r="D30" i="4" s="1"/>
  <c r="F30" i="4" s="1"/>
  <c r="C14" i="24"/>
  <c r="G117" i="42"/>
  <c r="AL35" i="41"/>
  <c r="D59" i="25"/>
  <c r="AH32" i="41"/>
  <c r="B117" i="42"/>
  <c r="AL23" i="41"/>
  <c r="AM23" i="41" s="1"/>
  <c r="AN23" i="41" s="1"/>
  <c r="K59" i="25"/>
  <c r="Z18" i="41"/>
  <c r="AA18" i="41" s="1"/>
  <c r="AC18" i="41" s="1"/>
  <c r="AL31" i="41"/>
  <c r="F117" i="42"/>
  <c r="AL29" i="41"/>
  <c r="AM29" i="41" s="1"/>
  <c r="AN29" i="41" s="1"/>
  <c r="AL18" i="41"/>
  <c r="AM18" i="41" s="1"/>
  <c r="AN18" i="41" s="1"/>
  <c r="AL21" i="41"/>
  <c r="AM21" i="41" s="1"/>
  <c r="AN21" i="41" s="1"/>
  <c r="AL26" i="41"/>
  <c r="AM26" i="41" s="1"/>
  <c r="AN26" i="41" s="1"/>
  <c r="AL22" i="41"/>
  <c r="AM22" i="41" s="1"/>
  <c r="AN22" i="41" s="1"/>
  <c r="AB25" i="41"/>
  <c r="D117" i="42"/>
  <c r="AL32" i="41"/>
  <c r="AL28" i="41"/>
  <c r="AM28" i="41" s="1"/>
  <c r="AN28" i="41" s="1"/>
  <c r="AL16" i="41"/>
  <c r="AM16" i="41" s="1"/>
  <c r="AN16" i="41" s="1"/>
  <c r="AL25" i="41"/>
  <c r="AM25" i="41" s="1"/>
  <c r="AN25" i="41" s="1"/>
  <c r="AB26" i="41"/>
  <c r="I117" i="42"/>
  <c r="AL19" i="41"/>
  <c r="AM19" i="41" s="1"/>
  <c r="AN19" i="41" s="1"/>
  <c r="AL33" i="41"/>
  <c r="AL34" i="41"/>
  <c r="AL27" i="41"/>
  <c r="AM27" i="41" s="1"/>
  <c r="AN27" i="41" s="1"/>
  <c r="T11" i="41"/>
  <c r="I4" i="25"/>
  <c r="N89" i="42"/>
  <c r="M73" i="45"/>
  <c r="M72" i="45"/>
  <c r="M74" i="45" s="1"/>
  <c r="M76" i="45" s="1"/>
  <c r="I73" i="45"/>
  <c r="F37" i="25"/>
  <c r="E27" i="48" s="1"/>
  <c r="J37" i="25"/>
  <c r="I27" i="48" s="1"/>
  <c r="N37" i="25"/>
  <c r="M27" i="48" s="1"/>
  <c r="D37" i="25"/>
  <c r="C27" i="48" s="1"/>
  <c r="H37" i="25"/>
  <c r="G27" i="48" s="1"/>
  <c r="L37" i="25"/>
  <c r="K27" i="48" s="1"/>
  <c r="E37" i="25"/>
  <c r="D27" i="48" s="1"/>
  <c r="I37" i="25"/>
  <c r="H27" i="48" s="1"/>
  <c r="M37" i="25"/>
  <c r="L27" i="48" s="1"/>
  <c r="O37" i="25"/>
  <c r="N27" i="48" s="1"/>
  <c r="G37" i="25"/>
  <c r="F27" i="48" s="1"/>
  <c r="K37" i="25"/>
  <c r="J27" i="48" s="1"/>
  <c r="E34" i="25"/>
  <c r="D24" i="48" s="1"/>
  <c r="I34" i="25"/>
  <c r="H24" i="48" s="1"/>
  <c r="M34" i="25"/>
  <c r="L24" i="48" s="1"/>
  <c r="G34" i="25"/>
  <c r="F24" i="48" s="1"/>
  <c r="K34" i="25"/>
  <c r="J24" i="48" s="1"/>
  <c r="O34" i="25"/>
  <c r="N24" i="48" s="1"/>
  <c r="D34" i="25"/>
  <c r="C24" i="48" s="1"/>
  <c r="H34" i="25"/>
  <c r="G24" i="48" s="1"/>
  <c r="L34" i="25"/>
  <c r="K24" i="48" s="1"/>
  <c r="F34" i="25"/>
  <c r="E24" i="48" s="1"/>
  <c r="J34" i="25"/>
  <c r="I24" i="48" s="1"/>
  <c r="N34" i="25"/>
  <c r="M24" i="48" s="1"/>
  <c r="H32" i="25"/>
  <c r="G21" i="48" s="1"/>
  <c r="L32" i="25"/>
  <c r="K21" i="48" s="1"/>
  <c r="F32" i="25"/>
  <c r="E21" i="48" s="1"/>
  <c r="J32" i="25"/>
  <c r="I21" i="48" s="1"/>
  <c r="N32" i="25"/>
  <c r="M21" i="48" s="1"/>
  <c r="G32" i="25"/>
  <c r="F21" i="48" s="1"/>
  <c r="K32" i="25"/>
  <c r="J21" i="48" s="1"/>
  <c r="O32" i="25"/>
  <c r="N21" i="48" s="1"/>
  <c r="I32" i="25"/>
  <c r="H21" i="48" s="1"/>
  <c r="M32" i="25"/>
  <c r="L21" i="48" s="1"/>
  <c r="E32" i="25"/>
  <c r="D21" i="48" s="1"/>
  <c r="G30" i="25"/>
  <c r="F19" i="48" s="1"/>
  <c r="K30" i="25"/>
  <c r="J19" i="48" s="1"/>
  <c r="O30" i="25"/>
  <c r="N19" i="48" s="1"/>
  <c r="E30" i="25"/>
  <c r="D19" i="48" s="1"/>
  <c r="M30" i="25"/>
  <c r="L19" i="48" s="1"/>
  <c r="F30" i="25"/>
  <c r="E19" i="48" s="1"/>
  <c r="J30" i="25"/>
  <c r="I19" i="48" s="1"/>
  <c r="N30" i="25"/>
  <c r="M19" i="48" s="1"/>
  <c r="D30" i="25"/>
  <c r="C19" i="48" s="1"/>
  <c r="H30" i="25"/>
  <c r="G19" i="48" s="1"/>
  <c r="L30" i="25"/>
  <c r="K19" i="48" s="1"/>
  <c r="F42" i="25"/>
  <c r="E32" i="48" s="1"/>
  <c r="J42" i="25"/>
  <c r="I32" i="48" s="1"/>
  <c r="N42" i="25"/>
  <c r="M32" i="48" s="1"/>
  <c r="D42" i="25"/>
  <c r="C32" i="48" s="1"/>
  <c r="H42" i="25"/>
  <c r="G32" i="48" s="1"/>
  <c r="L42" i="25"/>
  <c r="K32" i="48" s="1"/>
  <c r="I42" i="25"/>
  <c r="H32" i="48" s="1"/>
  <c r="K42" i="25"/>
  <c r="J32" i="48" s="1"/>
  <c r="E42" i="25"/>
  <c r="D32" i="48" s="1"/>
  <c r="M42" i="25"/>
  <c r="L32" i="48" s="1"/>
  <c r="G42" i="25"/>
  <c r="F32" i="48" s="1"/>
  <c r="O42" i="25"/>
  <c r="N32" i="48" s="1"/>
  <c r="F36" i="25"/>
  <c r="E26" i="48" s="1"/>
  <c r="J36" i="25"/>
  <c r="I26" i="48" s="1"/>
  <c r="N36" i="25"/>
  <c r="M26" i="48" s="1"/>
  <c r="D36" i="25"/>
  <c r="C26" i="48" s="1"/>
  <c r="H36" i="25"/>
  <c r="G26" i="48" s="1"/>
  <c r="L36" i="25"/>
  <c r="K26" i="48" s="1"/>
  <c r="E36" i="25"/>
  <c r="D26" i="48" s="1"/>
  <c r="I36" i="25"/>
  <c r="H26" i="48" s="1"/>
  <c r="M36" i="25"/>
  <c r="L26" i="48" s="1"/>
  <c r="K36" i="25"/>
  <c r="J26" i="48" s="1"/>
  <c r="O36" i="25"/>
  <c r="N26" i="48" s="1"/>
  <c r="G36" i="25"/>
  <c r="F26" i="48" s="1"/>
  <c r="F40" i="25"/>
  <c r="E30" i="48" s="1"/>
  <c r="J40" i="25"/>
  <c r="I30" i="48" s="1"/>
  <c r="N40" i="25"/>
  <c r="M30" i="48" s="1"/>
  <c r="D40" i="25"/>
  <c r="C30" i="48" s="1"/>
  <c r="H40" i="25"/>
  <c r="G30" i="48" s="1"/>
  <c r="L40" i="25"/>
  <c r="K30" i="48" s="1"/>
  <c r="E40" i="25"/>
  <c r="D30" i="48" s="1"/>
  <c r="I40" i="25"/>
  <c r="H30" i="48" s="1"/>
  <c r="M40" i="25"/>
  <c r="L30" i="48" s="1"/>
  <c r="K40" i="25"/>
  <c r="J30" i="48" s="1"/>
  <c r="O40" i="25"/>
  <c r="N30" i="48" s="1"/>
  <c r="G40" i="25"/>
  <c r="F30" i="48" s="1"/>
  <c r="O59" i="25"/>
  <c r="C59" i="39" s="1"/>
  <c r="L59" i="39" s="1"/>
  <c r="L59" i="25"/>
  <c r="F38" i="25"/>
  <c r="E28" i="48" s="1"/>
  <c r="J38" i="25"/>
  <c r="I28" i="48" s="1"/>
  <c r="N38" i="25"/>
  <c r="M28" i="48" s="1"/>
  <c r="D38" i="25"/>
  <c r="C28" i="48" s="1"/>
  <c r="H38" i="25"/>
  <c r="G28" i="48" s="1"/>
  <c r="L38" i="25"/>
  <c r="K28" i="48" s="1"/>
  <c r="E38" i="25"/>
  <c r="D28" i="48" s="1"/>
  <c r="I38" i="25"/>
  <c r="H28" i="48" s="1"/>
  <c r="M38" i="25"/>
  <c r="L28" i="48" s="1"/>
  <c r="G38" i="25"/>
  <c r="F28" i="48" s="1"/>
  <c r="K38" i="25"/>
  <c r="J28" i="48" s="1"/>
  <c r="O38" i="25"/>
  <c r="N28" i="48" s="1"/>
  <c r="F39" i="25"/>
  <c r="E29" i="48" s="1"/>
  <c r="J39" i="25"/>
  <c r="I29" i="48" s="1"/>
  <c r="N39" i="25"/>
  <c r="M29" i="48" s="1"/>
  <c r="D39" i="25"/>
  <c r="C29" i="48" s="1"/>
  <c r="H39" i="25"/>
  <c r="G29" i="48" s="1"/>
  <c r="L39" i="25"/>
  <c r="K29" i="48" s="1"/>
  <c r="E39" i="25"/>
  <c r="D29" i="48" s="1"/>
  <c r="I39" i="25"/>
  <c r="H29" i="48" s="1"/>
  <c r="M39" i="25"/>
  <c r="L29" i="48" s="1"/>
  <c r="G39" i="25"/>
  <c r="F29" i="48" s="1"/>
  <c r="K39" i="25"/>
  <c r="J29" i="48" s="1"/>
  <c r="O39" i="25"/>
  <c r="N29" i="48" s="1"/>
  <c r="D28" i="25"/>
  <c r="C17" i="48" s="1"/>
  <c r="G28" i="25"/>
  <c r="F17" i="48" s="1"/>
  <c r="K28" i="25"/>
  <c r="J17" i="48" s="1"/>
  <c r="O28" i="25"/>
  <c r="N17" i="48" s="1"/>
  <c r="E28" i="25"/>
  <c r="D17" i="48" s="1"/>
  <c r="I28" i="25"/>
  <c r="H17" i="48" s="1"/>
  <c r="M28" i="25"/>
  <c r="L17" i="48" s="1"/>
  <c r="F28" i="25"/>
  <c r="E17" i="48" s="1"/>
  <c r="J28" i="25"/>
  <c r="I17" i="48" s="1"/>
  <c r="N28" i="25"/>
  <c r="M17" i="48" s="1"/>
  <c r="H28" i="25"/>
  <c r="G17" i="48" s="1"/>
  <c r="L28" i="25"/>
  <c r="K17" i="48" s="1"/>
  <c r="N59" i="25"/>
  <c r="H59" i="25"/>
  <c r="E35" i="25"/>
  <c r="D25" i="48" s="1"/>
  <c r="F35" i="25"/>
  <c r="E25" i="48" s="1"/>
  <c r="J35" i="25"/>
  <c r="I25" i="48" s="1"/>
  <c r="N35" i="25"/>
  <c r="M25" i="48" s="1"/>
  <c r="H35" i="25"/>
  <c r="G25" i="48" s="1"/>
  <c r="L35" i="25"/>
  <c r="K25" i="48" s="1"/>
  <c r="D35" i="25"/>
  <c r="C25" i="48" s="1"/>
  <c r="I35" i="25"/>
  <c r="H25" i="48" s="1"/>
  <c r="M35" i="25"/>
  <c r="L25" i="48" s="1"/>
  <c r="G35" i="25"/>
  <c r="F25" i="48" s="1"/>
  <c r="K35" i="25"/>
  <c r="J25" i="48" s="1"/>
  <c r="O35" i="25"/>
  <c r="N25" i="48" s="1"/>
  <c r="F33" i="25"/>
  <c r="E23" i="48" s="1"/>
  <c r="D33" i="25"/>
  <c r="C23" i="48" s="1"/>
  <c r="I33" i="25"/>
  <c r="H23" i="48" s="1"/>
  <c r="M33" i="25"/>
  <c r="L23" i="48" s="1"/>
  <c r="G33" i="25"/>
  <c r="F23" i="48" s="1"/>
  <c r="K33" i="25"/>
  <c r="J23" i="48" s="1"/>
  <c r="O33" i="25"/>
  <c r="N23" i="48" s="1"/>
  <c r="H33" i="25"/>
  <c r="G23" i="48" s="1"/>
  <c r="L33" i="25"/>
  <c r="K23" i="48" s="1"/>
  <c r="N33" i="25"/>
  <c r="M23" i="48" s="1"/>
  <c r="E33" i="25"/>
  <c r="D23" i="48" s="1"/>
  <c r="J33" i="25"/>
  <c r="I23" i="48" s="1"/>
  <c r="F31" i="25"/>
  <c r="E20" i="48" s="1"/>
  <c r="H31" i="25"/>
  <c r="G20" i="48" s="1"/>
  <c r="L31" i="25"/>
  <c r="K20" i="48" s="1"/>
  <c r="E31" i="25"/>
  <c r="D20" i="48" s="1"/>
  <c r="J31" i="25"/>
  <c r="I20" i="48" s="1"/>
  <c r="N31" i="25"/>
  <c r="M20" i="48" s="1"/>
  <c r="G31" i="25"/>
  <c r="F20" i="48" s="1"/>
  <c r="K31" i="25"/>
  <c r="J20" i="48" s="1"/>
  <c r="O31" i="25"/>
  <c r="N20" i="48" s="1"/>
  <c r="D31" i="25"/>
  <c r="C20" i="48" s="1"/>
  <c r="I31" i="25"/>
  <c r="H20" i="48" s="1"/>
  <c r="M31" i="25"/>
  <c r="L20" i="48" s="1"/>
  <c r="G29" i="25"/>
  <c r="F18" i="48" s="1"/>
  <c r="K29" i="25"/>
  <c r="J18" i="48" s="1"/>
  <c r="O29" i="25"/>
  <c r="N18" i="48" s="1"/>
  <c r="E29" i="25"/>
  <c r="D18" i="48" s="1"/>
  <c r="I29" i="25"/>
  <c r="H18" i="48" s="1"/>
  <c r="M29" i="25"/>
  <c r="L18" i="48" s="1"/>
  <c r="F29" i="25"/>
  <c r="E18" i="48" s="1"/>
  <c r="J29" i="25"/>
  <c r="I18" i="48" s="1"/>
  <c r="N29" i="25"/>
  <c r="M18" i="48" s="1"/>
  <c r="L29" i="25"/>
  <c r="K18" i="48" s="1"/>
  <c r="D29" i="25"/>
  <c r="C18" i="48" s="1"/>
  <c r="H29" i="25"/>
  <c r="G18" i="48" s="1"/>
  <c r="G27" i="25"/>
  <c r="F16" i="48" s="1"/>
  <c r="K27" i="25"/>
  <c r="J16" i="48" s="1"/>
  <c r="O27" i="25"/>
  <c r="N16" i="48" s="1"/>
  <c r="E27" i="25"/>
  <c r="D16" i="48" s="1"/>
  <c r="I27" i="25"/>
  <c r="H16" i="48" s="1"/>
  <c r="M27" i="25"/>
  <c r="L16" i="48" s="1"/>
  <c r="L27" i="25"/>
  <c r="K16" i="48" s="1"/>
  <c r="F27" i="25"/>
  <c r="E16" i="48" s="1"/>
  <c r="N27" i="25"/>
  <c r="M16" i="48" s="1"/>
  <c r="H27" i="25"/>
  <c r="G16" i="48" s="1"/>
  <c r="F43" i="25"/>
  <c r="E33" i="48" s="1"/>
  <c r="J43" i="25"/>
  <c r="I33" i="48" s="1"/>
  <c r="N43" i="25"/>
  <c r="M33" i="48" s="1"/>
  <c r="H43" i="25"/>
  <c r="G33" i="48" s="1"/>
  <c r="L43" i="25"/>
  <c r="K33" i="48" s="1"/>
  <c r="E43" i="25"/>
  <c r="D33" i="48" s="1"/>
  <c r="M43" i="25"/>
  <c r="L33" i="48" s="1"/>
  <c r="G43" i="25"/>
  <c r="F33" i="48" s="1"/>
  <c r="O43" i="25"/>
  <c r="N33" i="48" s="1"/>
  <c r="I43" i="25"/>
  <c r="H33" i="48" s="1"/>
  <c r="K43" i="25"/>
  <c r="J33" i="48" s="1"/>
  <c r="P19" i="25"/>
  <c r="Q19" i="25" s="1"/>
  <c r="G19" i="8"/>
  <c r="I11" i="8"/>
  <c r="E39" i="7"/>
  <c r="G23" i="8"/>
  <c r="C14" i="25"/>
  <c r="O44" i="34"/>
  <c r="C39" i="7"/>
  <c r="D17" i="7" s="1"/>
  <c r="G12" i="8"/>
  <c r="B86" i="32"/>
  <c r="D88" i="32" s="1"/>
  <c r="M44" i="36"/>
  <c r="G15" i="8"/>
  <c r="G16" i="8"/>
  <c r="G14" i="8"/>
  <c r="D33" i="32"/>
  <c r="D130" i="32"/>
  <c r="D140" i="32" s="1"/>
  <c r="G20" i="8"/>
  <c r="G13" i="8"/>
  <c r="G43" i="8"/>
  <c r="K23" i="8"/>
  <c r="K19" i="8"/>
  <c r="G39" i="7"/>
  <c r="G17" i="8"/>
  <c r="G22" i="8"/>
  <c r="G21" i="8"/>
  <c r="K18" i="8"/>
  <c r="K14" i="8"/>
  <c r="J16" i="41"/>
  <c r="H100" i="42" s="1"/>
  <c r="V16" i="41"/>
  <c r="T17" i="41" s="1"/>
  <c r="AH29" i="41"/>
  <c r="C110" i="42"/>
  <c r="H110" i="42"/>
  <c r="AL24" i="41"/>
  <c r="AM24" i="41" s="1"/>
  <c r="AN24" i="41" s="1"/>
  <c r="AL30" i="41"/>
  <c r="AM30" i="41" s="1"/>
  <c r="AN30" i="41" s="1"/>
  <c r="AH31" i="41"/>
  <c r="H11" i="41"/>
  <c r="AG20" i="41"/>
  <c r="AF21" i="41"/>
  <c r="AH27" i="41"/>
  <c r="AH30" i="41"/>
  <c r="D110" i="42"/>
  <c r="K110" i="42"/>
  <c r="F110" i="42"/>
  <c r="M110" i="42"/>
  <c r="J110" i="42"/>
  <c r="L110" i="42"/>
  <c r="B110" i="42"/>
  <c r="P16" i="41"/>
  <c r="C101" i="42" s="1"/>
  <c r="AR16" i="41"/>
  <c r="AS16" i="41" s="1"/>
  <c r="AQ17" i="41" s="1"/>
  <c r="N11" i="41"/>
  <c r="J117" i="42"/>
  <c r="M117" i="42"/>
  <c r="C117" i="42"/>
  <c r="K117" i="42"/>
  <c r="L117" i="42"/>
  <c r="E117" i="42"/>
  <c r="O4" i="34"/>
  <c r="K5" i="34"/>
  <c r="E13" i="25"/>
  <c r="F13" i="25" s="1"/>
  <c r="D126" i="42" s="1"/>
  <c r="E13" i="40"/>
  <c r="C140" i="42" s="1"/>
  <c r="P39" i="34"/>
  <c r="I33" i="32"/>
  <c r="I32" i="32"/>
  <c r="I34" i="32"/>
  <c r="N34" i="32"/>
  <c r="X35" i="35"/>
  <c r="N56" i="42"/>
  <c r="G13" i="28"/>
  <c r="I35" i="28"/>
  <c r="G35" i="28"/>
  <c r="H44" i="28"/>
  <c r="B133" i="42"/>
  <c r="B126" i="42"/>
  <c r="E13" i="39"/>
  <c r="K17" i="8"/>
  <c r="K12" i="8"/>
  <c r="K20" i="8"/>
  <c r="K15" i="8"/>
  <c r="K21" i="8"/>
  <c r="AG6" i="36"/>
  <c r="K16" i="8"/>
  <c r="C14" i="40"/>
  <c r="I16" i="8"/>
  <c r="I21" i="8"/>
  <c r="I17" i="8"/>
  <c r="I19" i="8"/>
  <c r="K43" i="8"/>
  <c r="K22" i="8"/>
  <c r="K13" i="8"/>
  <c r="I20" i="8"/>
  <c r="I22" i="8"/>
  <c r="H34" i="8"/>
  <c r="C24" i="39" s="1"/>
  <c r="F57" i="28"/>
  <c r="C69" i="28" s="1"/>
  <c r="I39" i="36"/>
  <c r="N39" i="36"/>
  <c r="P39" i="36"/>
  <c r="I39" i="35"/>
  <c r="N39" i="35"/>
  <c r="P39" i="35"/>
  <c r="M43" i="35" s="1"/>
  <c r="N23" i="42"/>
  <c r="B10" i="4"/>
  <c r="K39" i="34"/>
  <c r="R39" i="34"/>
  <c r="O43" i="34" s="1"/>
  <c r="I15" i="8"/>
  <c r="I23" i="8"/>
  <c r="I13" i="8"/>
  <c r="I43" i="8"/>
  <c r="I12" i="8"/>
  <c r="I14" i="8"/>
  <c r="I18" i="8"/>
  <c r="F34" i="8"/>
  <c r="J34" i="8"/>
  <c r="K34" i="8" s="1"/>
  <c r="J59" i="25"/>
  <c r="M59" i="25"/>
  <c r="E59" i="25"/>
  <c r="G59" i="25"/>
  <c r="I59" i="25"/>
  <c r="D31" i="24"/>
  <c r="Q48" i="25"/>
  <c r="C48" i="39"/>
  <c r="D48" i="39" s="1"/>
  <c r="M169" i="42" l="1"/>
  <c r="L169" i="42"/>
  <c r="B170" i="42"/>
  <c r="J172" i="42"/>
  <c r="B165" i="42"/>
  <c r="B173" i="42"/>
  <c r="D40" i="39" s="1"/>
  <c r="L172" i="42"/>
  <c r="G168" i="42"/>
  <c r="I35" i="39" s="1"/>
  <c r="D166" i="42"/>
  <c r="F33" i="39" s="1"/>
  <c r="B166" i="42"/>
  <c r="C166" i="42"/>
  <c r="E33" i="39" s="1"/>
  <c r="I161" i="42"/>
  <c r="K28" i="39" s="1"/>
  <c r="D170" i="42"/>
  <c r="F37" i="39" s="1"/>
  <c r="L167" i="42"/>
  <c r="H167" i="42"/>
  <c r="J34" i="39" s="1"/>
  <c r="F162" i="42"/>
  <c r="H29" i="39" s="1"/>
  <c r="J161" i="42"/>
  <c r="M164" i="42"/>
  <c r="H173" i="42"/>
  <c r="D162" i="42"/>
  <c r="G171" i="42"/>
  <c r="I38" i="39" s="1"/>
  <c r="O33" i="48"/>
  <c r="P33" i="48" s="1"/>
  <c r="F171" i="42"/>
  <c r="H38" i="39" s="1"/>
  <c r="L165" i="42"/>
  <c r="N32" i="39" s="1"/>
  <c r="O21" i="48"/>
  <c r="P21" i="48" s="1"/>
  <c r="O24" i="48"/>
  <c r="P24" i="48" s="1"/>
  <c r="L171" i="42"/>
  <c r="N38" i="39" s="1"/>
  <c r="I165" i="42"/>
  <c r="K32" i="39" s="1"/>
  <c r="K173" i="42"/>
  <c r="M40" i="39" s="1"/>
  <c r="F167" i="42"/>
  <c r="F161" i="42"/>
  <c r="J162" i="42"/>
  <c r="L29" i="39" s="1"/>
  <c r="D169" i="42"/>
  <c r="F36" i="39" s="1"/>
  <c r="F170" i="42"/>
  <c r="O19" i="48"/>
  <c r="P19" i="48" s="1"/>
  <c r="K171" i="42"/>
  <c r="M38" i="39" s="1"/>
  <c r="C164" i="42"/>
  <c r="E31" i="39" s="1"/>
  <c r="K165" i="42"/>
  <c r="J166" i="42"/>
  <c r="J173" i="42"/>
  <c r="L40" i="39" s="1"/>
  <c r="K172" i="42"/>
  <c r="M39" i="39" s="1"/>
  <c r="E167" i="42"/>
  <c r="D161" i="42"/>
  <c r="H162" i="42"/>
  <c r="J29" i="39" s="1"/>
  <c r="I168" i="42"/>
  <c r="K35" i="39" s="1"/>
  <c r="K169" i="42"/>
  <c r="M36" i="39" s="1"/>
  <c r="C170" i="42"/>
  <c r="B159" i="42"/>
  <c r="D14" i="39" s="1"/>
  <c r="D14" i="25"/>
  <c r="C10" i="48" s="1"/>
  <c r="M171" i="42"/>
  <c r="I164" i="42"/>
  <c r="K31" i="39" s="1"/>
  <c r="J165" i="42"/>
  <c r="L32" i="39" s="1"/>
  <c r="M166" i="42"/>
  <c r="G173" i="42"/>
  <c r="I172" i="42"/>
  <c r="G167" i="42"/>
  <c r="I34" i="39" s="1"/>
  <c r="C161" i="42"/>
  <c r="E28" i="39" s="1"/>
  <c r="G162" i="42"/>
  <c r="I29" i="39" s="1"/>
  <c r="F168" i="42"/>
  <c r="H35" i="39" s="1"/>
  <c r="J169" i="42"/>
  <c r="L36" i="39" s="1"/>
  <c r="J170" i="42"/>
  <c r="L37" i="39" s="1"/>
  <c r="O27" i="48"/>
  <c r="P27" i="48" s="1"/>
  <c r="D171" i="42"/>
  <c r="F38" i="39" s="1"/>
  <c r="J164" i="42"/>
  <c r="L31" i="39" s="1"/>
  <c r="H165" i="42"/>
  <c r="J32" i="39" s="1"/>
  <c r="I166" i="42"/>
  <c r="E173" i="42"/>
  <c r="D172" i="42"/>
  <c r="D167" i="42"/>
  <c r="F34" i="39" s="1"/>
  <c r="B161" i="42"/>
  <c r="D28" i="39" s="1"/>
  <c r="C162" i="42"/>
  <c r="E29" i="39" s="1"/>
  <c r="E168" i="42"/>
  <c r="G35" i="39" s="1"/>
  <c r="H169" i="42"/>
  <c r="J36" i="39" s="1"/>
  <c r="I170" i="42"/>
  <c r="C180" i="42"/>
  <c r="E14" i="40" s="1"/>
  <c r="B180" i="42"/>
  <c r="D14" i="40" s="1"/>
  <c r="D180" i="42"/>
  <c r="F14" i="40" s="1"/>
  <c r="F180" i="42"/>
  <c r="E180" i="42"/>
  <c r="J180" i="42"/>
  <c r="L14" i="40" s="1"/>
  <c r="K180" i="42"/>
  <c r="M14" i="40" s="1"/>
  <c r="G180" i="42"/>
  <c r="I14" i="40" s="1"/>
  <c r="H180" i="42"/>
  <c r="J14" i="40" s="1"/>
  <c r="L180" i="42"/>
  <c r="N14" i="40" s="1"/>
  <c r="I180" i="42"/>
  <c r="K14" i="40" s="1"/>
  <c r="M180" i="42"/>
  <c r="J171" i="42"/>
  <c r="K164" i="42"/>
  <c r="G165" i="42"/>
  <c r="I32" i="39" s="1"/>
  <c r="H166" i="42"/>
  <c r="D173" i="42"/>
  <c r="H172" i="42"/>
  <c r="J39" i="39" s="1"/>
  <c r="C167" i="42"/>
  <c r="E34" i="39" s="1"/>
  <c r="M161" i="42"/>
  <c r="O28" i="39" s="1"/>
  <c r="B162" i="42"/>
  <c r="D29" i="39" s="1"/>
  <c r="C168" i="42"/>
  <c r="E35" i="39" s="1"/>
  <c r="E169" i="42"/>
  <c r="G36" i="39" s="1"/>
  <c r="H170" i="42"/>
  <c r="F35" i="8"/>
  <c r="G35" i="8" s="1"/>
  <c r="B13" i="48"/>
  <c r="O30" i="48"/>
  <c r="P30" i="48" s="1"/>
  <c r="O26" i="48"/>
  <c r="P26" i="48" s="1"/>
  <c r="O32" i="48"/>
  <c r="P32" i="48" s="1"/>
  <c r="I171" i="42"/>
  <c r="G164" i="42"/>
  <c r="I31" i="39" s="1"/>
  <c r="F165" i="42"/>
  <c r="H32" i="39" s="1"/>
  <c r="G166" i="42"/>
  <c r="I33" i="39" s="1"/>
  <c r="F173" i="42"/>
  <c r="H40" i="39" s="1"/>
  <c r="G172" i="42"/>
  <c r="I39" i="39" s="1"/>
  <c r="B167" i="42"/>
  <c r="K161" i="42"/>
  <c r="M162" i="42"/>
  <c r="M168" i="42"/>
  <c r="O35" i="39" s="1"/>
  <c r="B16" i="41"/>
  <c r="I169" i="42"/>
  <c r="K36" i="39" s="1"/>
  <c r="E170" i="42"/>
  <c r="G37" i="39" s="1"/>
  <c r="O23" i="48"/>
  <c r="P23" i="48" s="1"/>
  <c r="O29" i="48"/>
  <c r="P29" i="48" s="1"/>
  <c r="O28" i="48"/>
  <c r="P28" i="48" s="1"/>
  <c r="O18" i="48"/>
  <c r="P18" i="48" s="1"/>
  <c r="O17" i="48"/>
  <c r="P17" i="48" s="1"/>
  <c r="E171" i="42"/>
  <c r="G38" i="39" s="1"/>
  <c r="F164" i="42"/>
  <c r="H31" i="39" s="1"/>
  <c r="M165" i="42"/>
  <c r="O32" i="39" s="1"/>
  <c r="K166" i="42"/>
  <c r="M33" i="39" s="1"/>
  <c r="I173" i="42"/>
  <c r="C172" i="42"/>
  <c r="K167" i="42"/>
  <c r="M34" i="39" s="1"/>
  <c r="G161" i="42"/>
  <c r="I162" i="42"/>
  <c r="K29" i="39" s="1"/>
  <c r="L168" i="42"/>
  <c r="N35" i="39" s="1"/>
  <c r="G169" i="42"/>
  <c r="I36" i="39" s="1"/>
  <c r="K170" i="42"/>
  <c r="M37" i="39" s="1"/>
  <c r="O25" i="48"/>
  <c r="P25" i="48" s="1"/>
  <c r="O20" i="48"/>
  <c r="P20" i="48" s="1"/>
  <c r="O16" i="48"/>
  <c r="P16" i="48" s="1"/>
  <c r="B171" i="42"/>
  <c r="D38" i="39" s="1"/>
  <c r="H164" i="42"/>
  <c r="E165" i="42"/>
  <c r="F166" i="42"/>
  <c r="C173" i="42"/>
  <c r="E40" i="39" s="1"/>
  <c r="B172" i="42"/>
  <c r="D39" i="39" s="1"/>
  <c r="J167" i="42"/>
  <c r="L34" i="39" s="1"/>
  <c r="L161" i="42"/>
  <c r="N28" i="39" s="1"/>
  <c r="K162" i="42"/>
  <c r="M29" i="39" s="1"/>
  <c r="D168" i="42"/>
  <c r="F35" i="39" s="1"/>
  <c r="F169" i="42"/>
  <c r="H36" i="39" s="1"/>
  <c r="G170" i="42"/>
  <c r="I37" i="39" s="1"/>
  <c r="H171" i="42"/>
  <c r="J38" i="39" s="1"/>
  <c r="E164" i="42"/>
  <c r="D165" i="42"/>
  <c r="F32" i="39" s="1"/>
  <c r="L166" i="42"/>
  <c r="N33" i="39" s="1"/>
  <c r="M173" i="42"/>
  <c r="O40" i="39" s="1"/>
  <c r="M172" i="42"/>
  <c r="O39" i="39" s="1"/>
  <c r="I167" i="42"/>
  <c r="K34" i="39" s="1"/>
  <c r="H161" i="42"/>
  <c r="J28" i="39" s="1"/>
  <c r="L162" i="42"/>
  <c r="N29" i="39" s="1"/>
  <c r="K168" i="42"/>
  <c r="C169" i="42"/>
  <c r="E36" i="39" s="1"/>
  <c r="M170" i="42"/>
  <c r="O37" i="39" s="1"/>
  <c r="K4" i="25"/>
  <c r="K4" i="48"/>
  <c r="C160" i="42"/>
  <c r="K160" i="42"/>
  <c r="D160" i="42"/>
  <c r="L160" i="42"/>
  <c r="N27" i="39" s="1"/>
  <c r="E160" i="42"/>
  <c r="M160" i="42"/>
  <c r="O27" i="39" s="1"/>
  <c r="F160" i="42"/>
  <c r="H27" i="39" s="1"/>
  <c r="D27" i="39"/>
  <c r="J160" i="42"/>
  <c r="L27" i="39" s="1"/>
  <c r="G160" i="42"/>
  <c r="I27" i="39" s="1"/>
  <c r="H160" i="42"/>
  <c r="J27" i="39" s="1"/>
  <c r="I160" i="42"/>
  <c r="K27" i="39" s="1"/>
  <c r="O15" i="40"/>
  <c r="G15" i="40"/>
  <c r="I15" i="40"/>
  <c r="N15" i="40"/>
  <c r="F15" i="40"/>
  <c r="J15" i="40"/>
  <c r="M15" i="40"/>
  <c r="E15" i="40"/>
  <c r="H15" i="40"/>
  <c r="L15" i="40"/>
  <c r="D15" i="40"/>
  <c r="K15" i="40"/>
  <c r="G14" i="40"/>
  <c r="O14" i="40"/>
  <c r="H14" i="40"/>
  <c r="K15" i="39"/>
  <c r="J15" i="39"/>
  <c r="M15" i="39"/>
  <c r="I15" i="39"/>
  <c r="G15" i="39"/>
  <c r="H15" i="39"/>
  <c r="F15" i="39"/>
  <c r="E15" i="39"/>
  <c r="L15" i="39"/>
  <c r="O15" i="39"/>
  <c r="D15" i="39"/>
  <c r="N15" i="39"/>
  <c r="I14" i="25"/>
  <c r="H10" i="48" s="1"/>
  <c r="G33" i="39"/>
  <c r="J33" i="39"/>
  <c r="K33" i="39"/>
  <c r="O33" i="39"/>
  <c r="L33" i="39"/>
  <c r="D33" i="39"/>
  <c r="H33" i="39"/>
  <c r="E32" i="39"/>
  <c r="M32" i="39"/>
  <c r="G32" i="39"/>
  <c r="D32" i="39"/>
  <c r="N34" i="39"/>
  <c r="G34" i="39"/>
  <c r="O34" i="39"/>
  <c r="H34" i="39"/>
  <c r="D34" i="39"/>
  <c r="O29" i="39"/>
  <c r="F29" i="39"/>
  <c r="G29" i="39"/>
  <c r="G29" i="7"/>
  <c r="P195" i="42" s="1"/>
  <c r="P174" i="42"/>
  <c r="I28" i="39"/>
  <c r="M28" i="39"/>
  <c r="F28" i="39"/>
  <c r="G28" i="39"/>
  <c r="H28" i="39"/>
  <c r="L28" i="39"/>
  <c r="J37" i="39"/>
  <c r="N37" i="39"/>
  <c r="K37" i="39"/>
  <c r="D37" i="39"/>
  <c r="H37" i="39"/>
  <c r="E37" i="39"/>
  <c r="G28" i="7"/>
  <c r="P194" i="42" s="1"/>
  <c r="P173" i="42"/>
  <c r="O36" i="39"/>
  <c r="D36" i="39"/>
  <c r="N36" i="39"/>
  <c r="I40" i="39"/>
  <c r="K40" i="39"/>
  <c r="F40" i="39"/>
  <c r="J40" i="39"/>
  <c r="N40" i="39"/>
  <c r="G40" i="39"/>
  <c r="M31" i="39"/>
  <c r="F31" i="39"/>
  <c r="J31" i="39"/>
  <c r="N31" i="39"/>
  <c r="G31" i="39"/>
  <c r="O31" i="39"/>
  <c r="D31" i="39"/>
  <c r="E27" i="39"/>
  <c r="M27" i="39"/>
  <c r="G27" i="39"/>
  <c r="F27" i="39"/>
  <c r="L35" i="39"/>
  <c r="M35" i="39"/>
  <c r="J35" i="39"/>
  <c r="D35" i="39"/>
  <c r="E38" i="39"/>
  <c r="O38" i="39"/>
  <c r="K38" i="39"/>
  <c r="L38" i="39"/>
  <c r="F39" i="39"/>
  <c r="N39" i="39"/>
  <c r="H39" i="39"/>
  <c r="G39" i="39"/>
  <c r="K39" i="39"/>
  <c r="L39" i="39"/>
  <c r="E39" i="39"/>
  <c r="F20" i="7"/>
  <c r="G20" i="7"/>
  <c r="C36" i="40" s="1"/>
  <c r="G24" i="7"/>
  <c r="C40" i="40" s="1"/>
  <c r="G15" i="7"/>
  <c r="C32" i="40" s="1"/>
  <c r="G18" i="7"/>
  <c r="C34" i="40" s="1"/>
  <c r="G12" i="7"/>
  <c r="C29" i="40" s="1"/>
  <c r="G27" i="7"/>
  <c r="P193" i="42" s="1"/>
  <c r="G14" i="7"/>
  <c r="C31" i="40" s="1"/>
  <c r="C27" i="40"/>
  <c r="B181" i="42" s="1"/>
  <c r="G19" i="7"/>
  <c r="C35" i="40" s="1"/>
  <c r="G13" i="7"/>
  <c r="C30" i="40" s="1"/>
  <c r="G11" i="7"/>
  <c r="C28" i="40" s="1"/>
  <c r="G26" i="7"/>
  <c r="C42" i="40" s="1"/>
  <c r="G17" i="7"/>
  <c r="C33" i="40" s="1"/>
  <c r="G21" i="7"/>
  <c r="C37" i="40" s="1"/>
  <c r="G22" i="7"/>
  <c r="C38" i="40" s="1"/>
  <c r="G23" i="7"/>
  <c r="C39" i="40" s="1"/>
  <c r="AB41" i="28"/>
  <c r="N36" i="32"/>
  <c r="N38" i="32" s="1"/>
  <c r="Q9" i="28"/>
  <c r="Q41" i="28"/>
  <c r="AB9" i="28"/>
  <c r="I74" i="45"/>
  <c r="I76" i="45" s="1"/>
  <c r="I77" i="45" s="1"/>
  <c r="I78" i="45" s="1"/>
  <c r="I80" i="45" s="1"/>
  <c r="E74" i="45"/>
  <c r="E76" i="45" s="1"/>
  <c r="E77" i="45" s="1"/>
  <c r="E78" i="45" s="1"/>
  <c r="E80" i="45" s="1"/>
  <c r="K16" i="40"/>
  <c r="H16" i="40"/>
  <c r="G16" i="40"/>
  <c r="M16" i="40"/>
  <c r="C15" i="40"/>
  <c r="C18" i="40" s="1"/>
  <c r="F16" i="40"/>
  <c r="D16" i="40"/>
  <c r="I16" i="40"/>
  <c r="E16" i="40"/>
  <c r="O16" i="40"/>
  <c r="N16" i="40"/>
  <c r="B151" i="42"/>
  <c r="B153" i="42" s="1"/>
  <c r="E151" i="42"/>
  <c r="E153" i="42" s="1"/>
  <c r="J131" i="32"/>
  <c r="L131" i="32" s="1"/>
  <c r="D49" i="25"/>
  <c r="E49" i="25"/>
  <c r="X24" i="36"/>
  <c r="K78" i="42"/>
  <c r="L78" i="42"/>
  <c r="G78" i="42"/>
  <c r="M78" i="42"/>
  <c r="D78" i="42"/>
  <c r="H78" i="42"/>
  <c r="E78" i="42"/>
  <c r="I78" i="42"/>
  <c r="B78" i="42"/>
  <c r="J78" i="42"/>
  <c r="C78" i="42"/>
  <c r="F78" i="42"/>
  <c r="X30" i="36"/>
  <c r="D84" i="42"/>
  <c r="E84" i="42"/>
  <c r="B84" i="42"/>
  <c r="F84" i="42"/>
  <c r="G84" i="42"/>
  <c r="J84" i="42"/>
  <c r="L84" i="42"/>
  <c r="C84" i="42"/>
  <c r="M84" i="42"/>
  <c r="I84" i="42"/>
  <c r="H84" i="42"/>
  <c r="K84" i="42"/>
  <c r="X31" i="36"/>
  <c r="L85" i="42"/>
  <c r="F85" i="42"/>
  <c r="E85" i="42"/>
  <c r="I85" i="42"/>
  <c r="B85" i="42"/>
  <c r="K85" i="42"/>
  <c r="D85" i="42"/>
  <c r="C85" i="42"/>
  <c r="J85" i="42"/>
  <c r="G85" i="42"/>
  <c r="H85" i="42"/>
  <c r="M85" i="42"/>
  <c r="X17" i="36"/>
  <c r="J71" i="42"/>
  <c r="M71" i="42"/>
  <c r="L71" i="42"/>
  <c r="K71" i="42"/>
  <c r="E71" i="42"/>
  <c r="I71" i="42"/>
  <c r="H71" i="42"/>
  <c r="F71" i="42"/>
  <c r="C71" i="42"/>
  <c r="G71" i="42"/>
  <c r="B71" i="42"/>
  <c r="D71" i="42"/>
  <c r="X29" i="36"/>
  <c r="E83" i="42"/>
  <c r="B83" i="42"/>
  <c r="D83" i="42"/>
  <c r="H83" i="42"/>
  <c r="J83" i="42"/>
  <c r="M83" i="42"/>
  <c r="L83" i="42"/>
  <c r="K83" i="42"/>
  <c r="G83" i="42"/>
  <c r="C83" i="42"/>
  <c r="I83" i="42"/>
  <c r="F83" i="42"/>
  <c r="X33" i="36"/>
  <c r="H87" i="42"/>
  <c r="E87" i="42"/>
  <c r="F87" i="42"/>
  <c r="D87" i="42"/>
  <c r="C87" i="42"/>
  <c r="M87" i="42"/>
  <c r="B87" i="42"/>
  <c r="L87" i="42"/>
  <c r="G87" i="42"/>
  <c r="J87" i="42"/>
  <c r="I87" i="42"/>
  <c r="K87" i="42"/>
  <c r="X34" i="36"/>
  <c r="F88" i="42"/>
  <c r="C88" i="42"/>
  <c r="M88" i="42"/>
  <c r="J88" i="42"/>
  <c r="L88" i="42"/>
  <c r="K88" i="42"/>
  <c r="G88" i="42"/>
  <c r="H88" i="42"/>
  <c r="I88" i="42"/>
  <c r="B88" i="42"/>
  <c r="D88" i="42"/>
  <c r="E88" i="42"/>
  <c r="X21" i="36"/>
  <c r="D75" i="42"/>
  <c r="E75" i="42"/>
  <c r="F75" i="42"/>
  <c r="G75" i="42"/>
  <c r="B75" i="42"/>
  <c r="M75" i="42"/>
  <c r="J75" i="42"/>
  <c r="L75" i="42"/>
  <c r="K75" i="42"/>
  <c r="I75" i="42"/>
  <c r="H75" i="42"/>
  <c r="C75" i="42"/>
  <c r="X32" i="36"/>
  <c r="D86" i="42"/>
  <c r="M86" i="42"/>
  <c r="E86" i="42"/>
  <c r="I86" i="42"/>
  <c r="H86" i="42"/>
  <c r="K86" i="42"/>
  <c r="L86" i="42"/>
  <c r="F86" i="42"/>
  <c r="J86" i="42"/>
  <c r="C86" i="42"/>
  <c r="G86" i="42"/>
  <c r="B86" i="42"/>
  <c r="X25" i="36"/>
  <c r="I79" i="42"/>
  <c r="G79" i="42"/>
  <c r="E79" i="42"/>
  <c r="K79" i="42"/>
  <c r="C79" i="42"/>
  <c r="M79" i="42"/>
  <c r="F79" i="42"/>
  <c r="H79" i="42"/>
  <c r="J79" i="42"/>
  <c r="D79" i="42"/>
  <c r="B79" i="42"/>
  <c r="L79" i="42"/>
  <c r="X37" i="36"/>
  <c r="M91" i="42"/>
  <c r="J91" i="42"/>
  <c r="E91" i="42"/>
  <c r="I91" i="42"/>
  <c r="B91" i="42"/>
  <c r="F91" i="42"/>
  <c r="K91" i="42"/>
  <c r="L91" i="42"/>
  <c r="C91" i="42"/>
  <c r="G91" i="42"/>
  <c r="H91" i="42"/>
  <c r="D91" i="42"/>
  <c r="F77" i="42"/>
  <c r="B77" i="42"/>
  <c r="G77" i="42"/>
  <c r="D77" i="42"/>
  <c r="I77" i="42"/>
  <c r="E77" i="42"/>
  <c r="H77" i="42"/>
  <c r="C77" i="42"/>
  <c r="X20" i="36"/>
  <c r="H74" i="42"/>
  <c r="D74" i="42"/>
  <c r="E74" i="42"/>
  <c r="B74" i="42"/>
  <c r="F74" i="42"/>
  <c r="M74" i="42"/>
  <c r="G74" i="42"/>
  <c r="L74" i="42"/>
  <c r="K74" i="42"/>
  <c r="J74" i="42"/>
  <c r="C74" i="42"/>
  <c r="I74" i="42"/>
  <c r="X28" i="36"/>
  <c r="M82" i="42"/>
  <c r="L82" i="42"/>
  <c r="I82" i="42"/>
  <c r="C82" i="42"/>
  <c r="J82" i="42"/>
  <c r="D82" i="42"/>
  <c r="E82" i="42"/>
  <c r="B82" i="42"/>
  <c r="F82" i="42"/>
  <c r="H82" i="42"/>
  <c r="K82" i="42"/>
  <c r="G82" i="42"/>
  <c r="X26" i="36"/>
  <c r="B80" i="42"/>
  <c r="H80" i="42"/>
  <c r="I80" i="42"/>
  <c r="F80" i="42"/>
  <c r="J80" i="42"/>
  <c r="C80" i="42"/>
  <c r="M80" i="42"/>
  <c r="E80" i="42"/>
  <c r="D80" i="42"/>
  <c r="K80" i="42"/>
  <c r="G80" i="42"/>
  <c r="L80" i="42"/>
  <c r="F44" i="42"/>
  <c r="I44" i="42"/>
  <c r="D44" i="42"/>
  <c r="E44" i="42"/>
  <c r="B44" i="42"/>
  <c r="C44" i="42"/>
  <c r="H44" i="42"/>
  <c r="G44" i="42"/>
  <c r="F53" i="42"/>
  <c r="E53" i="42"/>
  <c r="C53" i="42"/>
  <c r="B53" i="42"/>
  <c r="D53" i="42"/>
  <c r="X37" i="35"/>
  <c r="J58" i="42"/>
  <c r="I58" i="42"/>
  <c r="D58" i="42"/>
  <c r="F58" i="42"/>
  <c r="H58" i="42"/>
  <c r="C58" i="42"/>
  <c r="B58" i="42"/>
  <c r="G58" i="42"/>
  <c r="E58" i="42"/>
  <c r="M47" i="42"/>
  <c r="E47" i="42"/>
  <c r="B47" i="42"/>
  <c r="D47" i="42"/>
  <c r="C47" i="42"/>
  <c r="F47" i="42"/>
  <c r="L47" i="42"/>
  <c r="K47" i="42"/>
  <c r="G47" i="42"/>
  <c r="J47" i="42"/>
  <c r="H47" i="42"/>
  <c r="I47" i="42"/>
  <c r="B59" i="42"/>
  <c r="I59" i="42"/>
  <c r="H59" i="42"/>
  <c r="D59" i="42"/>
  <c r="J59" i="42"/>
  <c r="K59" i="42"/>
  <c r="E59" i="42"/>
  <c r="F59" i="42"/>
  <c r="C59" i="42"/>
  <c r="G59" i="42"/>
  <c r="B50" i="42"/>
  <c r="C50" i="42"/>
  <c r="B41" i="42"/>
  <c r="C41" i="42"/>
  <c r="F41" i="42"/>
  <c r="D41" i="42"/>
  <c r="E41" i="42"/>
  <c r="J13" i="42"/>
  <c r="E13" i="42"/>
  <c r="G13" i="42"/>
  <c r="B13" i="42"/>
  <c r="F13" i="42"/>
  <c r="H13" i="42"/>
  <c r="I13" i="42"/>
  <c r="K13" i="42"/>
  <c r="D13" i="42"/>
  <c r="C13" i="42"/>
  <c r="D21" i="42"/>
  <c r="C21" i="42"/>
  <c r="F21" i="42"/>
  <c r="E21" i="42"/>
  <c r="G21" i="42"/>
  <c r="B21" i="42"/>
  <c r="C20" i="42"/>
  <c r="F20" i="42"/>
  <c r="B20" i="42"/>
  <c r="D20" i="42"/>
  <c r="E20" i="42"/>
  <c r="C22" i="42"/>
  <c r="H22" i="42"/>
  <c r="B22" i="42"/>
  <c r="G22" i="42"/>
  <c r="F22" i="42"/>
  <c r="D22" i="42"/>
  <c r="E22" i="42"/>
  <c r="B18" i="42"/>
  <c r="C18" i="42"/>
  <c r="D18" i="42"/>
  <c r="C17" i="42"/>
  <c r="B17" i="42"/>
  <c r="C19" i="42"/>
  <c r="B19" i="42"/>
  <c r="D19" i="42"/>
  <c r="E19" i="42"/>
  <c r="F11" i="42"/>
  <c r="H11" i="42"/>
  <c r="B11" i="42"/>
  <c r="C11" i="42"/>
  <c r="I11" i="42"/>
  <c r="D11" i="42"/>
  <c r="E11" i="42"/>
  <c r="G11" i="42"/>
  <c r="C7" i="42"/>
  <c r="B7" i="42"/>
  <c r="E7" i="42"/>
  <c r="D7" i="42"/>
  <c r="B9" i="42"/>
  <c r="F9" i="42"/>
  <c r="E9" i="42"/>
  <c r="G9" i="42"/>
  <c r="C9" i="42"/>
  <c r="D9" i="42"/>
  <c r="F41" i="28"/>
  <c r="X16" i="36"/>
  <c r="D70" i="42"/>
  <c r="K70" i="42"/>
  <c r="M70" i="42"/>
  <c r="J70" i="42"/>
  <c r="C70" i="42"/>
  <c r="G70" i="42"/>
  <c r="H70" i="42"/>
  <c r="L70" i="42"/>
  <c r="F70" i="42"/>
  <c r="I70" i="42"/>
  <c r="E70" i="42"/>
  <c r="B69" i="42"/>
  <c r="C69" i="42"/>
  <c r="K81" i="42"/>
  <c r="F81" i="42"/>
  <c r="I81" i="42"/>
  <c r="D81" i="42"/>
  <c r="G81" i="42"/>
  <c r="J81" i="42"/>
  <c r="E81" i="42"/>
  <c r="C81" i="42"/>
  <c r="H81" i="42"/>
  <c r="X27" i="36"/>
  <c r="M81" i="42"/>
  <c r="L81" i="42"/>
  <c r="G69" i="42"/>
  <c r="K69" i="42"/>
  <c r="H69" i="42"/>
  <c r="F69" i="42"/>
  <c r="J69" i="42"/>
  <c r="E69" i="42"/>
  <c r="D69" i="42"/>
  <c r="I69" i="42"/>
  <c r="M69" i="42"/>
  <c r="L69" i="42"/>
  <c r="D54" i="42"/>
  <c r="C54" i="42"/>
  <c r="E54" i="42"/>
  <c r="F54" i="42"/>
  <c r="G54" i="42"/>
  <c r="G76" i="42"/>
  <c r="E76" i="42"/>
  <c r="F76" i="42"/>
  <c r="H76" i="42"/>
  <c r="D76" i="42"/>
  <c r="C76" i="42"/>
  <c r="X22" i="36"/>
  <c r="L76" i="42"/>
  <c r="J76" i="42"/>
  <c r="M76" i="42"/>
  <c r="K76" i="42"/>
  <c r="I76" i="42"/>
  <c r="X23" i="36"/>
  <c r="J77" i="42"/>
  <c r="L77" i="42"/>
  <c r="M77" i="42"/>
  <c r="K77" i="42"/>
  <c r="X38" i="35"/>
  <c r="M59" i="42"/>
  <c r="L59" i="42"/>
  <c r="L58" i="42"/>
  <c r="K58" i="42"/>
  <c r="M58" i="42"/>
  <c r="L44" i="42"/>
  <c r="J44" i="42"/>
  <c r="K44" i="42"/>
  <c r="M44" i="42"/>
  <c r="K50" i="42"/>
  <c r="L50" i="42"/>
  <c r="J50" i="42"/>
  <c r="F50" i="42"/>
  <c r="M50" i="42"/>
  <c r="I50" i="42"/>
  <c r="E50" i="42"/>
  <c r="D50" i="42"/>
  <c r="H50" i="42"/>
  <c r="G50" i="42"/>
  <c r="G41" i="42"/>
  <c r="K41" i="42"/>
  <c r="M41" i="42"/>
  <c r="H41" i="42"/>
  <c r="I41" i="42"/>
  <c r="J41" i="42"/>
  <c r="L41" i="42"/>
  <c r="I53" i="42"/>
  <c r="M53" i="42"/>
  <c r="L53" i="42"/>
  <c r="K53" i="42"/>
  <c r="J53" i="42"/>
  <c r="H53" i="42"/>
  <c r="G53" i="42"/>
  <c r="X16" i="35"/>
  <c r="D37" i="42"/>
  <c r="F37" i="42"/>
  <c r="C37" i="42"/>
  <c r="E37" i="42"/>
  <c r="G37" i="42"/>
  <c r="I54" i="42"/>
  <c r="J54" i="42"/>
  <c r="M54" i="42"/>
  <c r="L54" i="42"/>
  <c r="H54" i="42"/>
  <c r="K54" i="42"/>
  <c r="X15" i="36"/>
  <c r="J39" i="36"/>
  <c r="N72" i="42"/>
  <c r="N92" i="42"/>
  <c r="M39" i="36"/>
  <c r="M42" i="36" s="1"/>
  <c r="J36" i="8" s="1"/>
  <c r="K36" i="8" s="1"/>
  <c r="L37" i="42"/>
  <c r="K37" i="42"/>
  <c r="M37" i="42"/>
  <c r="I37" i="42"/>
  <c r="H37" i="42"/>
  <c r="J37" i="42"/>
  <c r="M46" i="35"/>
  <c r="O46" i="34"/>
  <c r="X29" i="35"/>
  <c r="X32" i="35"/>
  <c r="X23" i="35"/>
  <c r="X26" i="35"/>
  <c r="X20" i="35"/>
  <c r="X33" i="35"/>
  <c r="X21" i="35"/>
  <c r="X31" i="35"/>
  <c r="X28" i="35"/>
  <c r="X24" i="35"/>
  <c r="X27" i="35"/>
  <c r="X25" i="35"/>
  <c r="X34" i="35"/>
  <c r="X30" i="35"/>
  <c r="M14" i="42"/>
  <c r="G14" i="42"/>
  <c r="F14" i="42"/>
  <c r="C14" i="42"/>
  <c r="H14" i="42"/>
  <c r="L14" i="42"/>
  <c r="E14" i="42"/>
  <c r="D14" i="42"/>
  <c r="K14" i="42"/>
  <c r="J14" i="42"/>
  <c r="I14" i="42"/>
  <c r="K25" i="42"/>
  <c r="I25" i="42"/>
  <c r="C25" i="42"/>
  <c r="E25" i="42"/>
  <c r="H25" i="42"/>
  <c r="J25" i="42"/>
  <c r="D25" i="42"/>
  <c r="G25" i="42"/>
  <c r="F25" i="42"/>
  <c r="J26" i="42"/>
  <c r="K26" i="42"/>
  <c r="F26" i="42"/>
  <c r="E26" i="42"/>
  <c r="G26" i="42"/>
  <c r="H26" i="42"/>
  <c r="I26" i="42"/>
  <c r="D26" i="42"/>
  <c r="M26" i="42"/>
  <c r="L26" i="42"/>
  <c r="M13" i="42"/>
  <c r="L13" i="42"/>
  <c r="Z32" i="34"/>
  <c r="G20" i="42"/>
  <c r="J20" i="42"/>
  <c r="K20" i="42"/>
  <c r="H20" i="42"/>
  <c r="L20" i="42"/>
  <c r="I20" i="42"/>
  <c r="M20" i="42"/>
  <c r="L25" i="42"/>
  <c r="M25" i="42"/>
  <c r="K24" i="42"/>
  <c r="L24" i="42"/>
  <c r="M24" i="42"/>
  <c r="M9" i="42"/>
  <c r="J9" i="42"/>
  <c r="I9" i="42"/>
  <c r="L9" i="42"/>
  <c r="K9" i="42"/>
  <c r="H9" i="42"/>
  <c r="G18" i="42"/>
  <c r="F18" i="42"/>
  <c r="M18" i="42"/>
  <c r="E18" i="42"/>
  <c r="L18" i="42"/>
  <c r="I18" i="42"/>
  <c r="H18" i="42"/>
  <c r="K18" i="42"/>
  <c r="J18" i="42"/>
  <c r="I17" i="42"/>
  <c r="L17" i="42"/>
  <c r="K17" i="42"/>
  <c r="E17" i="42"/>
  <c r="J17" i="42"/>
  <c r="H17" i="42"/>
  <c r="G17" i="42"/>
  <c r="D17" i="42"/>
  <c r="F17" i="42"/>
  <c r="M17" i="42"/>
  <c r="K19" i="42"/>
  <c r="L19" i="42"/>
  <c r="H19" i="42"/>
  <c r="G19" i="42"/>
  <c r="M19" i="42"/>
  <c r="F19" i="42"/>
  <c r="J19" i="42"/>
  <c r="I19" i="42"/>
  <c r="Z33" i="34"/>
  <c r="L21" i="42"/>
  <c r="K21" i="42"/>
  <c r="H21" i="42"/>
  <c r="J21" i="42"/>
  <c r="M21" i="42"/>
  <c r="I21" i="42"/>
  <c r="Z34" i="34"/>
  <c r="M22" i="42"/>
  <c r="L22" i="42"/>
  <c r="K22" i="42"/>
  <c r="J22" i="42"/>
  <c r="I22" i="42"/>
  <c r="K7" i="42"/>
  <c r="J7" i="42"/>
  <c r="M7" i="42"/>
  <c r="L7" i="42"/>
  <c r="F7" i="42"/>
  <c r="I7" i="42"/>
  <c r="G7" i="42"/>
  <c r="H7" i="42"/>
  <c r="J11" i="42"/>
  <c r="M11" i="42"/>
  <c r="L11" i="42"/>
  <c r="K11" i="42"/>
  <c r="Z28" i="34"/>
  <c r="C16" i="42"/>
  <c r="K16" i="42"/>
  <c r="F16" i="42"/>
  <c r="G16" i="42"/>
  <c r="J16" i="42"/>
  <c r="D16" i="42"/>
  <c r="M16" i="42"/>
  <c r="H16" i="42"/>
  <c r="L16" i="42"/>
  <c r="E16" i="42"/>
  <c r="I16" i="42"/>
  <c r="Z27" i="34"/>
  <c r="K15" i="42"/>
  <c r="D15" i="42"/>
  <c r="G15" i="42"/>
  <c r="H15" i="42"/>
  <c r="L15" i="42"/>
  <c r="C15" i="42"/>
  <c r="I15" i="42"/>
  <c r="B15" i="42"/>
  <c r="M15" i="42"/>
  <c r="F15" i="42"/>
  <c r="J15" i="42"/>
  <c r="E15" i="42"/>
  <c r="Z19" i="34"/>
  <c r="Z26" i="34"/>
  <c r="Z23" i="34"/>
  <c r="Z25" i="34"/>
  <c r="Z21" i="34"/>
  <c r="Z30" i="34"/>
  <c r="Z37" i="34"/>
  <c r="Z29" i="34"/>
  <c r="Z36" i="34"/>
  <c r="Z31" i="34"/>
  <c r="Z38" i="34"/>
  <c r="L39" i="34"/>
  <c r="J45" i="28"/>
  <c r="H12" i="32" s="1"/>
  <c r="D36" i="32"/>
  <c r="D38" i="32" s="1"/>
  <c r="D39" i="32" s="1"/>
  <c r="D40" i="32" s="1"/>
  <c r="D42" i="32" s="1"/>
  <c r="F44" i="32" s="1"/>
  <c r="H45" i="28"/>
  <c r="F12" i="32" s="1"/>
  <c r="C16" i="7"/>
  <c r="E16" i="7"/>
  <c r="H43" i="8" s="1"/>
  <c r="G16" i="7"/>
  <c r="J43" i="8" s="1"/>
  <c r="F141" i="32"/>
  <c r="N90" i="42"/>
  <c r="F38" i="28"/>
  <c r="X36" i="35"/>
  <c r="H135" i="32"/>
  <c r="J135" i="32"/>
  <c r="L135" i="32" s="1"/>
  <c r="H138" i="32"/>
  <c r="J138" i="32"/>
  <c r="L138" i="32" s="1"/>
  <c r="H132" i="32"/>
  <c r="J132" i="32"/>
  <c r="H137" i="32"/>
  <c r="J137" i="32"/>
  <c r="L137" i="32" s="1"/>
  <c r="AM34" i="41"/>
  <c r="AM32" i="41"/>
  <c r="AM35" i="41"/>
  <c r="AM33" i="41"/>
  <c r="AM31" i="41"/>
  <c r="AM37" i="41" s="1"/>
  <c r="C100" i="42"/>
  <c r="N73" i="42"/>
  <c r="Z24" i="34"/>
  <c r="Z20" i="34"/>
  <c r="Z18" i="34"/>
  <c r="X17" i="35"/>
  <c r="X19" i="35"/>
  <c r="X18" i="35"/>
  <c r="Z17" i="34"/>
  <c r="Z16" i="34"/>
  <c r="Z22" i="34"/>
  <c r="Z15" i="34"/>
  <c r="I34" i="8"/>
  <c r="B100" i="42"/>
  <c r="B123" i="42" s="1"/>
  <c r="E100" i="42"/>
  <c r="E123" i="42" s="1"/>
  <c r="I100" i="42"/>
  <c r="E59" i="39"/>
  <c r="K102" i="42"/>
  <c r="D100" i="42"/>
  <c r="D123" i="42" s="1"/>
  <c r="J100" i="42"/>
  <c r="L100" i="42"/>
  <c r="G100" i="42"/>
  <c r="M59" i="39"/>
  <c r="F100" i="42"/>
  <c r="G59" i="39"/>
  <c r="D59" i="39"/>
  <c r="H59" i="39"/>
  <c r="F59" i="39"/>
  <c r="O59" i="39"/>
  <c r="C59" i="40" s="1"/>
  <c r="G59" i="40" s="1"/>
  <c r="I59" i="39"/>
  <c r="J59" i="39"/>
  <c r="N59" i="39"/>
  <c r="K59" i="39"/>
  <c r="D34" i="4"/>
  <c r="D36" i="4" s="1"/>
  <c r="F11" i="7"/>
  <c r="F24" i="7"/>
  <c r="F23" i="7"/>
  <c r="F13" i="40"/>
  <c r="D140" i="42" s="1"/>
  <c r="F8" i="8"/>
  <c r="D9" i="45" s="1"/>
  <c r="F9" i="28"/>
  <c r="C38" i="24"/>
  <c r="AB29" i="41"/>
  <c r="Z19" i="41"/>
  <c r="AA19" i="41" s="1"/>
  <c r="AC19" i="41" s="1"/>
  <c r="N110" i="42"/>
  <c r="AH36" i="41"/>
  <c r="D102" i="42"/>
  <c r="K101" i="42"/>
  <c r="C7" i="7"/>
  <c r="K4" i="35"/>
  <c r="P27" i="25"/>
  <c r="Q27" i="25" s="1"/>
  <c r="F15" i="7"/>
  <c r="H14" i="25"/>
  <c r="L14" i="25"/>
  <c r="K10" i="48" s="1"/>
  <c r="E14" i="25"/>
  <c r="D10" i="48" s="1"/>
  <c r="M14" i="25"/>
  <c r="L10" i="48" s="1"/>
  <c r="F14" i="25"/>
  <c r="E10" i="48" s="1"/>
  <c r="J14" i="25"/>
  <c r="I10" i="48" s="1"/>
  <c r="N14" i="25"/>
  <c r="M10" i="48" s="1"/>
  <c r="G14" i="25"/>
  <c r="K14" i="25"/>
  <c r="J10" i="48" s="1"/>
  <c r="O14" i="25"/>
  <c r="N10" i="48" s="1"/>
  <c r="M77" i="45"/>
  <c r="M78" i="45" s="1"/>
  <c r="M80" i="45" s="1"/>
  <c r="P43" i="25"/>
  <c r="Q43" i="25" s="1"/>
  <c r="P40" i="25"/>
  <c r="Q40" i="25" s="1"/>
  <c r="P36" i="25"/>
  <c r="Q36" i="25" s="1"/>
  <c r="P42" i="25"/>
  <c r="Q42" i="25" s="1"/>
  <c r="P37" i="25"/>
  <c r="Q37" i="25" s="1"/>
  <c r="P29" i="25"/>
  <c r="Q29" i="25" s="1"/>
  <c r="P35" i="25"/>
  <c r="Q35" i="25" s="1"/>
  <c r="P28" i="25"/>
  <c r="Q28" i="25" s="1"/>
  <c r="P34" i="25"/>
  <c r="Q34" i="25" s="1"/>
  <c r="P31" i="25"/>
  <c r="Q31" i="25" s="1"/>
  <c r="P33" i="25"/>
  <c r="Q33" i="25" s="1"/>
  <c r="P39" i="25"/>
  <c r="Q39" i="25" s="1"/>
  <c r="P38" i="25"/>
  <c r="Q38" i="25" s="1"/>
  <c r="P30" i="25"/>
  <c r="Q30" i="25" s="1"/>
  <c r="P32" i="25"/>
  <c r="Q32" i="25" s="1"/>
  <c r="D29" i="7"/>
  <c r="G34" i="8"/>
  <c r="F13" i="7"/>
  <c r="F39" i="7"/>
  <c r="F12" i="7"/>
  <c r="F18" i="7"/>
  <c r="D19" i="7"/>
  <c r="F14" i="7"/>
  <c r="F19" i="7"/>
  <c r="F26" i="7"/>
  <c r="F10" i="7"/>
  <c r="F29" i="7"/>
  <c r="F27" i="7"/>
  <c r="F22" i="7"/>
  <c r="F21" i="7"/>
  <c r="F17" i="7"/>
  <c r="D23" i="7"/>
  <c r="D11" i="7"/>
  <c r="D14" i="7"/>
  <c r="D13" i="7"/>
  <c r="D15" i="7"/>
  <c r="D24" i="7"/>
  <c r="D27" i="7"/>
  <c r="D22" i="7"/>
  <c r="D39" i="7"/>
  <c r="D20" i="7"/>
  <c r="D10" i="7"/>
  <c r="D28" i="7"/>
  <c r="D12" i="7"/>
  <c r="D18" i="7"/>
  <c r="D26" i="7"/>
  <c r="D21" i="7"/>
  <c r="A43" i="45"/>
  <c r="F39" i="28"/>
  <c r="M100" i="42"/>
  <c r="H17" i="41"/>
  <c r="K100" i="42"/>
  <c r="H35" i="8"/>
  <c r="I35" i="8" s="1"/>
  <c r="H39" i="7"/>
  <c r="G30" i="4"/>
  <c r="F34" i="4"/>
  <c r="V17" i="41"/>
  <c r="T18" i="41" s="1"/>
  <c r="M102" i="42"/>
  <c r="J102" i="42"/>
  <c r="E101" i="42"/>
  <c r="C102" i="42"/>
  <c r="L102" i="42"/>
  <c r="D101" i="42"/>
  <c r="D124" i="42" s="1"/>
  <c r="B101" i="42"/>
  <c r="C124" i="42" s="1"/>
  <c r="N17" i="41"/>
  <c r="P17" i="41" s="1"/>
  <c r="G102" i="42"/>
  <c r="F102" i="42"/>
  <c r="H102" i="42"/>
  <c r="B102" i="42"/>
  <c r="B125" i="42" s="1"/>
  <c r="E102" i="42"/>
  <c r="I102" i="42"/>
  <c r="AR17" i="41"/>
  <c r="N117" i="42"/>
  <c r="C123" i="42"/>
  <c r="AF22" i="41"/>
  <c r="AG21" i="41"/>
  <c r="AI21" i="41" s="1"/>
  <c r="J101" i="42"/>
  <c r="AI20" i="41"/>
  <c r="I101" i="42"/>
  <c r="I124" i="42" s="1"/>
  <c r="G101" i="42"/>
  <c r="L101" i="42"/>
  <c r="L124" i="42" s="1"/>
  <c r="H101" i="42"/>
  <c r="F101" i="42"/>
  <c r="M101" i="42"/>
  <c r="M124" i="42" s="1"/>
  <c r="D16" i="41"/>
  <c r="C126" i="42"/>
  <c r="G13" i="25"/>
  <c r="I36" i="32"/>
  <c r="I38" i="32" s="1"/>
  <c r="I39" i="32" s="1"/>
  <c r="I40" i="32" s="1"/>
  <c r="I42" i="32" s="1"/>
  <c r="K44" i="32" s="1"/>
  <c r="N39" i="32"/>
  <c r="N40" i="32"/>
  <c r="N42" i="32" s="1"/>
  <c r="P44" i="32" s="1"/>
  <c r="G11" i="4"/>
  <c r="F44" i="28"/>
  <c r="F45" i="28" s="1"/>
  <c r="D12" i="32" s="1"/>
  <c r="C38" i="28"/>
  <c r="C133" i="42"/>
  <c r="F13" i="39"/>
  <c r="AG5" i="36"/>
  <c r="AG8" i="36" s="1"/>
  <c r="M43" i="36"/>
  <c r="M46" i="36" s="1"/>
  <c r="J39" i="35"/>
  <c r="X22" i="35"/>
  <c r="O39" i="34"/>
  <c r="C24" i="25"/>
  <c r="J35" i="8"/>
  <c r="K35" i="8" s="1"/>
  <c r="C24" i="40"/>
  <c r="C43" i="39" l="1"/>
  <c r="H29" i="7"/>
  <c r="C43" i="40"/>
  <c r="D195" i="42" s="1"/>
  <c r="F43" i="40" s="1"/>
  <c r="L192" i="42"/>
  <c r="C192" i="42"/>
  <c r="B192" i="42"/>
  <c r="D192" i="42"/>
  <c r="F38" i="40" s="1"/>
  <c r="F192" i="42"/>
  <c r="H38" i="40" s="1"/>
  <c r="M192" i="42"/>
  <c r="O38" i="40" s="1"/>
  <c r="E192" i="42"/>
  <c r="G38" i="40" s="1"/>
  <c r="J192" i="42"/>
  <c r="K192" i="42"/>
  <c r="M38" i="40" s="1"/>
  <c r="G192" i="42"/>
  <c r="I38" i="40" s="1"/>
  <c r="H192" i="42"/>
  <c r="I192" i="42"/>
  <c r="F186" i="42"/>
  <c r="I186" i="42"/>
  <c r="J186" i="42"/>
  <c r="G186" i="42"/>
  <c r="I32" i="40" s="1"/>
  <c r="H186" i="42"/>
  <c r="J32" i="40" s="1"/>
  <c r="D186" i="42"/>
  <c r="F32" i="40" s="1"/>
  <c r="K186" i="42"/>
  <c r="M32" i="40" s="1"/>
  <c r="E186" i="42"/>
  <c r="G32" i="40" s="1"/>
  <c r="B186" i="42"/>
  <c r="D32" i="40" s="1"/>
  <c r="L186" i="42"/>
  <c r="M186" i="42"/>
  <c r="C186" i="42"/>
  <c r="K191" i="42"/>
  <c r="C191" i="42"/>
  <c r="D191" i="42"/>
  <c r="J191" i="42"/>
  <c r="L37" i="40" s="1"/>
  <c r="L191" i="42"/>
  <c r="N37" i="40" s="1"/>
  <c r="E191" i="42"/>
  <c r="G37" i="40" s="1"/>
  <c r="M191" i="42"/>
  <c r="O37" i="40" s="1"/>
  <c r="B191" i="42"/>
  <c r="D37" i="40" s="1"/>
  <c r="I191" i="42"/>
  <c r="K37" i="40" s="1"/>
  <c r="G191" i="42"/>
  <c r="I37" i="40" s="1"/>
  <c r="H191" i="42"/>
  <c r="F191" i="42"/>
  <c r="F194" i="42"/>
  <c r="C194" i="42"/>
  <c r="B194" i="42"/>
  <c r="D194" i="42"/>
  <c r="F40" i="40" s="1"/>
  <c r="E194" i="42"/>
  <c r="G40" i="40" s="1"/>
  <c r="G194" i="42"/>
  <c r="I40" i="40" s="1"/>
  <c r="K194" i="42"/>
  <c r="M40" i="40" s="1"/>
  <c r="H194" i="42"/>
  <c r="J40" i="40" s="1"/>
  <c r="I194" i="42"/>
  <c r="K40" i="40" s="1"/>
  <c r="J194" i="42"/>
  <c r="L194" i="42"/>
  <c r="M194" i="42"/>
  <c r="G187" i="42"/>
  <c r="K187" i="42"/>
  <c r="L187" i="42"/>
  <c r="F187" i="42"/>
  <c r="H33" i="40" s="1"/>
  <c r="H187" i="42"/>
  <c r="J33" i="40" s="1"/>
  <c r="J187" i="42"/>
  <c r="L33" i="40" s="1"/>
  <c r="B187" i="42"/>
  <c r="D33" i="40" s="1"/>
  <c r="I187" i="42"/>
  <c r="K33" i="40" s="1"/>
  <c r="D187" i="42"/>
  <c r="F33" i="40" s="1"/>
  <c r="E187" i="42"/>
  <c r="C187" i="42"/>
  <c r="M187" i="42"/>
  <c r="J190" i="42"/>
  <c r="B190" i="42"/>
  <c r="K190" i="42"/>
  <c r="M190" i="42"/>
  <c r="G190" i="42"/>
  <c r="I36" i="40" s="1"/>
  <c r="H190" i="42"/>
  <c r="J36" i="40" s="1"/>
  <c r="L190" i="42"/>
  <c r="N36" i="40" s="1"/>
  <c r="I190" i="42"/>
  <c r="K36" i="40" s="1"/>
  <c r="C190" i="42"/>
  <c r="E36" i="40" s="1"/>
  <c r="F190" i="42"/>
  <c r="D190" i="42"/>
  <c r="E190" i="42"/>
  <c r="K11" i="48"/>
  <c r="J11" i="48"/>
  <c r="H11" i="48"/>
  <c r="G11" i="48"/>
  <c r="F11" i="48"/>
  <c r="E11" i="48"/>
  <c r="D11" i="48"/>
  <c r="C11" i="48"/>
  <c r="L11" i="48"/>
  <c r="N11" i="48"/>
  <c r="M11" i="48"/>
  <c r="E81" i="45"/>
  <c r="J182" i="42"/>
  <c r="C182" i="42"/>
  <c r="B182" i="42"/>
  <c r="M182" i="42"/>
  <c r="O28" i="40" s="1"/>
  <c r="D182" i="42"/>
  <c r="F28" i="40" s="1"/>
  <c r="K182" i="42"/>
  <c r="M28" i="40" s="1"/>
  <c r="E182" i="42"/>
  <c r="G28" i="40" s="1"/>
  <c r="F182" i="42"/>
  <c r="H28" i="40" s="1"/>
  <c r="G182" i="42"/>
  <c r="I28" i="40" s="1"/>
  <c r="H182" i="42"/>
  <c r="J28" i="40" s="1"/>
  <c r="I182" i="42"/>
  <c r="L182" i="42"/>
  <c r="F43" i="8"/>
  <c r="B22" i="48"/>
  <c r="D184" i="42"/>
  <c r="F30" i="40" s="1"/>
  <c r="G184" i="42"/>
  <c r="I30" i="40" s="1"/>
  <c r="I184" i="42"/>
  <c r="K30" i="40" s="1"/>
  <c r="E184" i="42"/>
  <c r="G30" i="40" s="1"/>
  <c r="F184" i="42"/>
  <c r="H30" i="40" s="1"/>
  <c r="B184" i="42"/>
  <c r="H184" i="42"/>
  <c r="J30" i="40" s="1"/>
  <c r="L184" i="42"/>
  <c r="N30" i="40" s="1"/>
  <c r="M184" i="42"/>
  <c r="C184" i="42"/>
  <c r="J184" i="42"/>
  <c r="K184" i="42"/>
  <c r="J17" i="41"/>
  <c r="H18" i="41" s="1"/>
  <c r="B17" i="41"/>
  <c r="G10" i="48"/>
  <c r="M82" i="45"/>
  <c r="D60" i="45"/>
  <c r="I189" i="42"/>
  <c r="K35" i="40" s="1"/>
  <c r="B189" i="42"/>
  <c r="D35" i="40" s="1"/>
  <c r="F189" i="42"/>
  <c r="J189" i="42"/>
  <c r="L35" i="40" s="1"/>
  <c r="K189" i="42"/>
  <c r="L189" i="42"/>
  <c r="E189" i="42"/>
  <c r="M189" i="42"/>
  <c r="G189" i="42"/>
  <c r="I35" i="40" s="1"/>
  <c r="C189" i="42"/>
  <c r="D189" i="42"/>
  <c r="F35" i="40" s="1"/>
  <c r="H189" i="42"/>
  <c r="J35" i="40" s="1"/>
  <c r="F10" i="48"/>
  <c r="B195" i="42"/>
  <c r="D43" i="40" s="1"/>
  <c r="E195" i="42"/>
  <c r="F195" i="42"/>
  <c r="I195" i="42"/>
  <c r="L195" i="42"/>
  <c r="N43" i="40" s="1"/>
  <c r="C195" i="42"/>
  <c r="E43" i="40" s="1"/>
  <c r="H195" i="42"/>
  <c r="J195" i="42"/>
  <c r="M195" i="42"/>
  <c r="O43" i="40" s="1"/>
  <c r="K195" i="42"/>
  <c r="M43" i="40" s="1"/>
  <c r="C183" i="42"/>
  <c r="E29" i="40" s="1"/>
  <c r="B183" i="42"/>
  <c r="G183" i="42"/>
  <c r="I29" i="40" s="1"/>
  <c r="D183" i="42"/>
  <c r="F183" i="42"/>
  <c r="H29" i="40" s="1"/>
  <c r="E183" i="42"/>
  <c r="G29" i="40" s="1"/>
  <c r="H183" i="42"/>
  <c r="J29" i="40" s="1"/>
  <c r="I183" i="42"/>
  <c r="K29" i="40" s="1"/>
  <c r="K183" i="42"/>
  <c r="M29" i="40" s="1"/>
  <c r="L183" i="42"/>
  <c r="N29" i="40" s="1"/>
  <c r="J183" i="42"/>
  <c r="L29" i="40" s="1"/>
  <c r="M183" i="42"/>
  <c r="E185" i="42"/>
  <c r="I185" i="42"/>
  <c r="F185" i="42"/>
  <c r="H185" i="42"/>
  <c r="G185" i="42"/>
  <c r="B185" i="42"/>
  <c r="J185" i="42"/>
  <c r="K185" i="42"/>
  <c r="M31" i="40" s="1"/>
  <c r="C185" i="42"/>
  <c r="E31" i="40" s="1"/>
  <c r="D185" i="42"/>
  <c r="F31" i="40" s="1"/>
  <c r="L185" i="42"/>
  <c r="N31" i="40" s="1"/>
  <c r="M185" i="42"/>
  <c r="O31" i="40" s="1"/>
  <c r="M174" i="42"/>
  <c r="O43" i="39" s="1"/>
  <c r="B174" i="42"/>
  <c r="D43" i="39" s="1"/>
  <c r="L174" i="42"/>
  <c r="N43" i="39" s="1"/>
  <c r="D174" i="42"/>
  <c r="F43" i="39" s="1"/>
  <c r="I174" i="42"/>
  <c r="C174" i="42"/>
  <c r="F174" i="42"/>
  <c r="H43" i="39" s="1"/>
  <c r="E174" i="42"/>
  <c r="G43" i="39" s="1"/>
  <c r="G174" i="42"/>
  <c r="H174" i="42"/>
  <c r="J43" i="39" s="1"/>
  <c r="J174" i="42"/>
  <c r="L43" i="39" s="1"/>
  <c r="K174" i="42"/>
  <c r="M43" i="39" s="1"/>
  <c r="M193" i="42"/>
  <c r="O39" i="40" s="1"/>
  <c r="D193" i="42"/>
  <c r="F193" i="42"/>
  <c r="I193" i="42"/>
  <c r="J193" i="42"/>
  <c r="L39" i="40" s="1"/>
  <c r="K193" i="42"/>
  <c r="C193" i="42"/>
  <c r="E39" i="40" s="1"/>
  <c r="B193" i="42"/>
  <c r="D39" i="40" s="1"/>
  <c r="E193" i="42"/>
  <c r="G39" i="40" s="1"/>
  <c r="G193" i="42"/>
  <c r="I39" i="40" s="1"/>
  <c r="H193" i="42"/>
  <c r="J39" i="40" s="1"/>
  <c r="L193" i="42"/>
  <c r="N39" i="40" s="1"/>
  <c r="H188" i="42"/>
  <c r="J34" i="40" s="1"/>
  <c r="K188" i="42"/>
  <c r="F188" i="42"/>
  <c r="I188" i="42"/>
  <c r="D188" i="42"/>
  <c r="F34" i="40" s="1"/>
  <c r="J188" i="42"/>
  <c r="L34" i="40" s="1"/>
  <c r="L188" i="42"/>
  <c r="N34" i="40" s="1"/>
  <c r="G188" i="42"/>
  <c r="I34" i="40" s="1"/>
  <c r="M188" i="42"/>
  <c r="O34" i="40" s="1"/>
  <c r="B188" i="42"/>
  <c r="D34" i="40" s="1"/>
  <c r="E188" i="42"/>
  <c r="G34" i="40" s="1"/>
  <c r="C188" i="42"/>
  <c r="E34" i="40" s="1"/>
  <c r="E181" i="42"/>
  <c r="G27" i="40" s="1"/>
  <c r="M181" i="42"/>
  <c r="F181" i="42"/>
  <c r="H27" i="40" s="1"/>
  <c r="H181" i="42"/>
  <c r="J27" i="40" s="1"/>
  <c r="G181" i="42"/>
  <c r="I27" i="40" s="1"/>
  <c r="I181" i="42"/>
  <c r="J181" i="42"/>
  <c r="L27" i="40" s="1"/>
  <c r="C181" i="42"/>
  <c r="E27" i="40" s="1"/>
  <c r="K181" i="42"/>
  <c r="M27" i="40" s="1"/>
  <c r="D181" i="42"/>
  <c r="F27" i="40" s="1"/>
  <c r="L181" i="42"/>
  <c r="N27" i="40" s="1"/>
  <c r="J18" i="40"/>
  <c r="D25" i="39"/>
  <c r="C159" i="42"/>
  <c r="E14" i="39" s="1"/>
  <c r="D159" i="42" s="1"/>
  <c r="F14" i="39" s="1"/>
  <c r="E159" i="42" s="1"/>
  <c r="G14" i="39" s="1"/>
  <c r="G18" i="40"/>
  <c r="K18" i="40"/>
  <c r="L18" i="40"/>
  <c r="I18" i="40"/>
  <c r="N18" i="40"/>
  <c r="E18" i="40"/>
  <c r="D18" i="40"/>
  <c r="F18" i="40"/>
  <c r="E59" i="40"/>
  <c r="H18" i="40"/>
  <c r="M18" i="40"/>
  <c r="O18" i="40"/>
  <c r="D18" i="39"/>
  <c r="E43" i="39"/>
  <c r="K43" i="39"/>
  <c r="I43" i="39"/>
  <c r="K25" i="25"/>
  <c r="J14" i="48" s="1"/>
  <c r="K24" i="25"/>
  <c r="J13" i="48" s="1"/>
  <c r="L24" i="25"/>
  <c r="K13" i="48" s="1"/>
  <c r="L25" i="25"/>
  <c r="K14" i="48" s="1"/>
  <c r="G25" i="25"/>
  <c r="F14" i="48" s="1"/>
  <c r="G24" i="25"/>
  <c r="F13" i="48" s="1"/>
  <c r="H25" i="25"/>
  <c r="G14" i="48" s="1"/>
  <c r="H24" i="25"/>
  <c r="G13" i="48" s="1"/>
  <c r="O30" i="40"/>
  <c r="E30" i="40"/>
  <c r="M30" i="40"/>
  <c r="L30" i="40"/>
  <c r="D30" i="40"/>
  <c r="O40" i="40"/>
  <c r="H40" i="40"/>
  <c r="L40" i="40"/>
  <c r="D40" i="40"/>
  <c r="E40" i="40"/>
  <c r="N40" i="40"/>
  <c r="O25" i="25"/>
  <c r="N14" i="48" s="1"/>
  <c r="O24" i="25"/>
  <c r="N13" i="48" s="1"/>
  <c r="J25" i="25"/>
  <c r="I14" i="48" s="1"/>
  <c r="J24" i="25"/>
  <c r="I13" i="48" s="1"/>
  <c r="E25" i="25"/>
  <c r="D14" i="48" s="1"/>
  <c r="E24" i="25"/>
  <c r="D13" i="48" s="1"/>
  <c r="D25" i="25"/>
  <c r="C14" i="48" s="1"/>
  <c r="D24" i="25"/>
  <c r="C13" i="48" s="1"/>
  <c r="F25" i="25"/>
  <c r="E14" i="48" s="1"/>
  <c r="F24" i="25"/>
  <c r="E13" i="48" s="1"/>
  <c r="M25" i="25"/>
  <c r="L14" i="48" s="1"/>
  <c r="M24" i="25"/>
  <c r="L13" i="48" s="1"/>
  <c r="H37" i="40"/>
  <c r="F37" i="40"/>
  <c r="J37" i="40"/>
  <c r="E37" i="40"/>
  <c r="M37" i="40"/>
  <c r="G43" i="40"/>
  <c r="K43" i="40"/>
  <c r="H43" i="40"/>
  <c r="L43" i="40"/>
  <c r="J43" i="40"/>
  <c r="N25" i="25"/>
  <c r="M14" i="48" s="1"/>
  <c r="N24" i="25"/>
  <c r="M13" i="48" s="1"/>
  <c r="I25" i="25"/>
  <c r="H14" i="48" s="1"/>
  <c r="I24" i="25"/>
  <c r="H13" i="48" s="1"/>
  <c r="I33" i="40"/>
  <c r="N33" i="40"/>
  <c r="E33" i="40"/>
  <c r="O33" i="40"/>
  <c r="G33" i="40"/>
  <c r="M33" i="40"/>
  <c r="H35" i="40"/>
  <c r="N35" i="40"/>
  <c r="G35" i="40"/>
  <c r="M35" i="40"/>
  <c r="O35" i="40"/>
  <c r="E35" i="40"/>
  <c r="O29" i="40"/>
  <c r="D29" i="40"/>
  <c r="F29" i="40"/>
  <c r="G36" i="40"/>
  <c r="O36" i="40"/>
  <c r="H36" i="40"/>
  <c r="L36" i="40"/>
  <c r="D36" i="40"/>
  <c r="F36" i="40"/>
  <c r="M36" i="40"/>
  <c r="K39" i="40"/>
  <c r="H39" i="40"/>
  <c r="F39" i="40"/>
  <c r="M39" i="40"/>
  <c r="K27" i="40"/>
  <c r="O27" i="40"/>
  <c r="D27" i="40"/>
  <c r="H34" i="40"/>
  <c r="M34" i="40"/>
  <c r="K34" i="40"/>
  <c r="K38" i="40"/>
  <c r="L38" i="40"/>
  <c r="D38" i="40"/>
  <c r="J38" i="40"/>
  <c r="N38" i="40"/>
  <c r="E38" i="40"/>
  <c r="K28" i="40"/>
  <c r="E28" i="40"/>
  <c r="L28" i="40"/>
  <c r="D28" i="40"/>
  <c r="N28" i="40"/>
  <c r="G31" i="40"/>
  <c r="K31" i="40"/>
  <c r="I31" i="40"/>
  <c r="H31" i="40"/>
  <c r="L31" i="40"/>
  <c r="D31" i="40"/>
  <c r="J31" i="40"/>
  <c r="K32" i="40"/>
  <c r="O32" i="40"/>
  <c r="H32" i="40"/>
  <c r="L32" i="40"/>
  <c r="E32" i="40"/>
  <c r="N32" i="40"/>
  <c r="H26" i="7"/>
  <c r="H18" i="7"/>
  <c r="H23" i="7"/>
  <c r="H10" i="7"/>
  <c r="H19" i="7"/>
  <c r="H21" i="7"/>
  <c r="H13" i="7"/>
  <c r="H11" i="7"/>
  <c r="H15" i="7"/>
  <c r="H20" i="7"/>
  <c r="H14" i="7"/>
  <c r="H12" i="7"/>
  <c r="H22" i="7"/>
  <c r="C52" i="39"/>
  <c r="H24" i="7"/>
  <c r="J42" i="39"/>
  <c r="O42" i="39"/>
  <c r="L42" i="39"/>
  <c r="G42" i="39"/>
  <c r="M42" i="39"/>
  <c r="K42" i="39"/>
  <c r="F42" i="39"/>
  <c r="E42" i="39"/>
  <c r="N42" i="39"/>
  <c r="I42" i="39"/>
  <c r="H42" i="39"/>
  <c r="H27" i="7"/>
  <c r="H17" i="7"/>
  <c r="J42" i="40"/>
  <c r="D42" i="40"/>
  <c r="M42" i="40"/>
  <c r="N42" i="40"/>
  <c r="G42" i="40"/>
  <c r="O42" i="40"/>
  <c r="L42" i="40"/>
  <c r="F42" i="40"/>
  <c r="H42" i="40"/>
  <c r="I42" i="40"/>
  <c r="E42" i="40"/>
  <c r="K42" i="40"/>
  <c r="C52" i="40"/>
  <c r="I4" i="39"/>
  <c r="C50" i="39"/>
  <c r="D50" i="39" s="1"/>
  <c r="E50" i="39" s="1"/>
  <c r="F50" i="39" s="1"/>
  <c r="G50" i="39" s="1"/>
  <c r="H50" i="39" s="1"/>
  <c r="I50" i="39" s="1"/>
  <c r="J50" i="39" s="1"/>
  <c r="K50" i="39" s="1"/>
  <c r="L50" i="39" s="1"/>
  <c r="M50" i="39" s="1"/>
  <c r="N50" i="39" s="1"/>
  <c r="O50" i="39" s="1"/>
  <c r="H45" i="8"/>
  <c r="F45" i="8"/>
  <c r="C50" i="25"/>
  <c r="D50" i="25" s="1"/>
  <c r="E50" i="25" s="1"/>
  <c r="F50" i="25" s="1"/>
  <c r="G50" i="25" s="1"/>
  <c r="H50" i="25" s="1"/>
  <c r="I50" i="25" s="1"/>
  <c r="J50" i="25" s="1"/>
  <c r="K50" i="25" s="1"/>
  <c r="L50" i="25" s="1"/>
  <c r="M50" i="25" s="1"/>
  <c r="N50" i="25" s="1"/>
  <c r="O50" i="25" s="1"/>
  <c r="C50" i="40"/>
  <c r="M50" i="40" s="1"/>
  <c r="J45" i="8"/>
  <c r="I45" i="8"/>
  <c r="K45" i="8"/>
  <c r="E16" i="39"/>
  <c r="K16" i="39"/>
  <c r="G16" i="39"/>
  <c r="N16" i="39"/>
  <c r="F16" i="39"/>
  <c r="M16" i="39"/>
  <c r="D16" i="39"/>
  <c r="L16" i="39"/>
  <c r="C15" i="39"/>
  <c r="C18" i="39" s="1"/>
  <c r="I16" i="39"/>
  <c r="O16" i="39"/>
  <c r="H16" i="39"/>
  <c r="N16" i="25"/>
  <c r="E16" i="25"/>
  <c r="I16" i="25"/>
  <c r="F16" i="25"/>
  <c r="L16" i="25"/>
  <c r="C15" i="25"/>
  <c r="H16" i="25"/>
  <c r="M16" i="25"/>
  <c r="D16" i="25"/>
  <c r="O16" i="25"/>
  <c r="K16" i="25"/>
  <c r="G16" i="25"/>
  <c r="I59" i="40"/>
  <c r="N59" i="40"/>
  <c r="O59" i="40"/>
  <c r="D59" i="40"/>
  <c r="D25" i="24"/>
  <c r="D11" i="24"/>
  <c r="D14" i="24"/>
  <c r="P49" i="25"/>
  <c r="Q49" i="25" s="1"/>
  <c r="B124" i="42"/>
  <c r="D16" i="7"/>
  <c r="F25" i="39"/>
  <c r="H16" i="7"/>
  <c r="K59" i="40"/>
  <c r="F59" i="40"/>
  <c r="L59" i="40"/>
  <c r="J59" i="40"/>
  <c r="E25" i="39"/>
  <c r="F16" i="7"/>
  <c r="G13" i="40"/>
  <c r="E140" i="42" s="1"/>
  <c r="N75" i="42"/>
  <c r="N88" i="42"/>
  <c r="N78" i="42"/>
  <c r="N80" i="42"/>
  <c r="N86" i="42"/>
  <c r="N87" i="42"/>
  <c r="N85" i="42"/>
  <c r="N74" i="42"/>
  <c r="N91" i="42"/>
  <c r="N83" i="42"/>
  <c r="N71" i="42"/>
  <c r="B94" i="42"/>
  <c r="B93" i="42" s="1"/>
  <c r="B95" i="42" s="1"/>
  <c r="D26" i="40" s="1"/>
  <c r="N82" i="42"/>
  <c r="N79" i="42"/>
  <c r="N84" i="42"/>
  <c r="D94" i="42"/>
  <c r="D93" i="42" s="1"/>
  <c r="D95" i="42" s="1"/>
  <c r="F26" i="40" s="1"/>
  <c r="N70" i="42"/>
  <c r="N81" i="42"/>
  <c r="G94" i="42"/>
  <c r="G93" i="42" s="1"/>
  <c r="G95" i="42" s="1"/>
  <c r="I26" i="40" s="1"/>
  <c r="H94" i="42"/>
  <c r="H93" i="42" s="1"/>
  <c r="H95" i="42" s="1"/>
  <c r="J26" i="40" s="1"/>
  <c r="C94" i="42"/>
  <c r="C93" i="42" s="1"/>
  <c r="C95" i="42" s="1"/>
  <c r="E26" i="40" s="1"/>
  <c r="F94" i="42"/>
  <c r="F93" i="42" s="1"/>
  <c r="F95" i="42" s="1"/>
  <c r="H26" i="40" s="1"/>
  <c r="E94" i="42"/>
  <c r="E93" i="42" s="1"/>
  <c r="E95" i="42" s="1"/>
  <c r="G26" i="40" s="1"/>
  <c r="M94" i="42"/>
  <c r="M93" i="42" s="1"/>
  <c r="M95" i="42" s="1"/>
  <c r="O26" i="40" s="1"/>
  <c r="N76" i="42"/>
  <c r="L94" i="42"/>
  <c r="L93" i="42" s="1"/>
  <c r="L95" i="42" s="1"/>
  <c r="N26" i="40" s="1"/>
  <c r="K94" i="42"/>
  <c r="K93" i="42" s="1"/>
  <c r="K95" i="42" s="1"/>
  <c r="M26" i="40" s="1"/>
  <c r="N59" i="42"/>
  <c r="I94" i="42"/>
  <c r="I93" i="42" s="1"/>
  <c r="I95" i="42" s="1"/>
  <c r="K26" i="40" s="1"/>
  <c r="N77" i="42"/>
  <c r="J94" i="42"/>
  <c r="J93" i="42" s="1"/>
  <c r="J95" i="42" s="1"/>
  <c r="L26" i="40" s="1"/>
  <c r="N58" i="42"/>
  <c r="N37" i="42"/>
  <c r="N69" i="42"/>
  <c r="N43" i="42"/>
  <c r="N45" i="42"/>
  <c r="N42" i="42"/>
  <c r="N41" i="42"/>
  <c r="N55" i="42"/>
  <c r="N47" i="42"/>
  <c r="N53" i="42"/>
  <c r="N51" i="42"/>
  <c r="N48" i="42"/>
  <c r="N50" i="42"/>
  <c r="N44" i="42"/>
  <c r="N54" i="42"/>
  <c r="N46" i="42"/>
  <c r="N49" i="42"/>
  <c r="N52" i="42"/>
  <c r="N36" i="42"/>
  <c r="N14" i="42"/>
  <c r="N9" i="42"/>
  <c r="N13" i="42"/>
  <c r="N11" i="42"/>
  <c r="N7" i="42"/>
  <c r="N24" i="42"/>
  <c r="N26" i="42"/>
  <c r="N17" i="42"/>
  <c r="N25" i="42"/>
  <c r="N19" i="42"/>
  <c r="N22" i="42"/>
  <c r="N15" i="42"/>
  <c r="N20" i="42"/>
  <c r="N21" i="42"/>
  <c r="N16" i="42"/>
  <c r="N18" i="42"/>
  <c r="E24" i="39"/>
  <c r="F88" i="45"/>
  <c r="H87" i="45" s="1"/>
  <c r="H140" i="32"/>
  <c r="N57" i="42"/>
  <c r="K61" i="42"/>
  <c r="L132" i="32"/>
  <c r="L140" i="32" s="1"/>
  <c r="J141" i="32"/>
  <c r="AN33" i="41"/>
  <c r="AN32" i="41"/>
  <c r="AN31" i="41"/>
  <c r="AN35" i="41"/>
  <c r="AN34" i="41"/>
  <c r="C104" i="42"/>
  <c r="E51" i="25" s="1"/>
  <c r="E124" i="42"/>
  <c r="K124" i="42"/>
  <c r="H124" i="42"/>
  <c r="H123" i="42"/>
  <c r="L123" i="42"/>
  <c r="M123" i="42"/>
  <c r="G123" i="42"/>
  <c r="F123" i="42"/>
  <c r="K123" i="42"/>
  <c r="J123" i="42"/>
  <c r="I123" i="42"/>
  <c r="H125" i="42"/>
  <c r="D125" i="42"/>
  <c r="D127" i="42" s="1"/>
  <c r="F41" i="25" s="1"/>
  <c r="E31" i="48" s="1"/>
  <c r="I125" i="42"/>
  <c r="F125" i="42"/>
  <c r="J125" i="42"/>
  <c r="K125" i="42"/>
  <c r="C125" i="42"/>
  <c r="C127" i="42" s="1"/>
  <c r="E41" i="25" s="1"/>
  <c r="D31" i="48" s="1"/>
  <c r="E125" i="42"/>
  <c r="G125" i="42"/>
  <c r="L125" i="42"/>
  <c r="M125" i="42"/>
  <c r="N12" i="42"/>
  <c r="N8" i="42"/>
  <c r="C28" i="42"/>
  <c r="C27" i="42" s="1"/>
  <c r="C29" i="42" s="1"/>
  <c r="E26" i="25" s="1"/>
  <c r="D15" i="48" s="1"/>
  <c r="M28" i="42"/>
  <c r="M27" i="42" s="1"/>
  <c r="M29" i="42" s="1"/>
  <c r="O26" i="25" s="1"/>
  <c r="N15" i="48" s="1"/>
  <c r="N6" i="42"/>
  <c r="L61" i="42"/>
  <c r="C61" i="42"/>
  <c r="J61" i="42"/>
  <c r="N38" i="42"/>
  <c r="I61" i="42"/>
  <c r="D61" i="42"/>
  <c r="G61" i="42"/>
  <c r="E61" i="42"/>
  <c r="F61" i="42"/>
  <c r="H61" i="42"/>
  <c r="M61" i="42"/>
  <c r="N40" i="42"/>
  <c r="N39" i="42"/>
  <c r="B61" i="42"/>
  <c r="L28" i="42"/>
  <c r="L27" i="42" s="1"/>
  <c r="L29" i="42" s="1"/>
  <c r="N26" i="25" s="1"/>
  <c r="M15" i="48" s="1"/>
  <c r="F28" i="42"/>
  <c r="F27" i="42" s="1"/>
  <c r="F29" i="42" s="1"/>
  <c r="H26" i="25" s="1"/>
  <c r="G15" i="48" s="1"/>
  <c r="H28" i="42"/>
  <c r="H27" i="42" s="1"/>
  <c r="H29" i="42" s="1"/>
  <c r="J26" i="25" s="1"/>
  <c r="I15" i="48" s="1"/>
  <c r="N5" i="42"/>
  <c r="K28" i="42"/>
  <c r="K27" i="42" s="1"/>
  <c r="K29" i="42" s="1"/>
  <c r="M26" i="25" s="1"/>
  <c r="L15" i="48" s="1"/>
  <c r="G28" i="42"/>
  <c r="G27" i="42" s="1"/>
  <c r="G29" i="42" s="1"/>
  <c r="I26" i="25" s="1"/>
  <c r="H15" i="48" s="1"/>
  <c r="N4" i="42"/>
  <c r="N10" i="42"/>
  <c r="D28" i="42"/>
  <c r="D27" i="42" s="1"/>
  <c r="D29" i="42" s="1"/>
  <c r="F26" i="25" s="1"/>
  <c r="E15" i="48" s="1"/>
  <c r="J28" i="42"/>
  <c r="J27" i="42" s="1"/>
  <c r="J29" i="42" s="1"/>
  <c r="L26" i="25" s="1"/>
  <c r="K15" i="48" s="1"/>
  <c r="E28" i="42"/>
  <c r="E27" i="42" s="1"/>
  <c r="E29" i="42" s="1"/>
  <c r="G26" i="25" s="1"/>
  <c r="F15" i="48" s="1"/>
  <c r="I28" i="42"/>
  <c r="N3" i="42"/>
  <c r="B28" i="42"/>
  <c r="B27" i="42" s="1"/>
  <c r="D24" i="39"/>
  <c r="F24" i="39"/>
  <c r="D22" i="24"/>
  <c r="D23" i="24"/>
  <c r="D20" i="24"/>
  <c r="D21" i="24"/>
  <c r="D38" i="24"/>
  <c r="D19" i="24"/>
  <c r="D18" i="24"/>
  <c r="D26" i="24"/>
  <c r="M59" i="40"/>
  <c r="H59" i="40"/>
  <c r="M4" i="35"/>
  <c r="H8" i="8" s="1"/>
  <c r="Z20" i="41"/>
  <c r="AA20" i="41" s="1"/>
  <c r="AC20" i="41" s="1"/>
  <c r="K104" i="42"/>
  <c r="M51" i="25" s="1"/>
  <c r="N102" i="42"/>
  <c r="N100" i="42"/>
  <c r="P14" i="25"/>
  <c r="Q14" i="25" s="1"/>
  <c r="F47" i="32"/>
  <c r="F51" i="32" s="1"/>
  <c r="F57" i="32" s="1"/>
  <c r="F58" i="32" s="1"/>
  <c r="N25" i="40"/>
  <c r="N24" i="40"/>
  <c r="I25" i="40"/>
  <c r="I24" i="40"/>
  <c r="H25" i="40"/>
  <c r="H24" i="40"/>
  <c r="O25" i="40"/>
  <c r="O24" i="40"/>
  <c r="J25" i="40"/>
  <c r="J24" i="40"/>
  <c r="E25" i="40"/>
  <c r="E24" i="40"/>
  <c r="K25" i="40"/>
  <c r="K24" i="40"/>
  <c r="F25" i="40"/>
  <c r="F24" i="40"/>
  <c r="D25" i="40"/>
  <c r="D24" i="40"/>
  <c r="G25" i="40"/>
  <c r="G24" i="40"/>
  <c r="M25" i="40"/>
  <c r="M24" i="40"/>
  <c r="L25" i="40"/>
  <c r="L24" i="40"/>
  <c r="F36" i="4"/>
  <c r="I104" i="42"/>
  <c r="K51" i="25" s="1"/>
  <c r="V18" i="41"/>
  <c r="T19" i="41" s="1"/>
  <c r="E104" i="42"/>
  <c r="G51" i="25" s="1"/>
  <c r="Z21" i="41"/>
  <c r="D104" i="42"/>
  <c r="F51" i="25" s="1"/>
  <c r="N18" i="41"/>
  <c r="B104" i="42"/>
  <c r="D51" i="25" s="1"/>
  <c r="K109" i="42"/>
  <c r="I109" i="42"/>
  <c r="L109" i="42"/>
  <c r="H109" i="42"/>
  <c r="F109" i="42"/>
  <c r="C109" i="42"/>
  <c r="B109" i="42"/>
  <c r="G109" i="42"/>
  <c r="J109" i="42"/>
  <c r="D109" i="42"/>
  <c r="E109" i="42"/>
  <c r="M109" i="42"/>
  <c r="J18" i="41"/>
  <c r="F44" i="8"/>
  <c r="G124" i="42"/>
  <c r="G104" i="42"/>
  <c r="I51" i="25" s="1"/>
  <c r="L107" i="42"/>
  <c r="K107" i="42"/>
  <c r="F107" i="42"/>
  <c r="C107" i="42"/>
  <c r="I107" i="42"/>
  <c r="H107" i="42"/>
  <c r="G107" i="42"/>
  <c r="D107" i="42"/>
  <c r="M107" i="42"/>
  <c r="E107" i="42"/>
  <c r="B107" i="42"/>
  <c r="J107" i="42"/>
  <c r="B127" i="42"/>
  <c r="D41" i="25" s="1"/>
  <c r="C31" i="48" s="1"/>
  <c r="F124" i="42"/>
  <c r="F104" i="42"/>
  <c r="M108" i="42"/>
  <c r="K108" i="42"/>
  <c r="H108" i="42"/>
  <c r="I108" i="42"/>
  <c r="D108" i="42"/>
  <c r="B108" i="42"/>
  <c r="C108" i="42"/>
  <c r="C131" i="42" s="1"/>
  <c r="F108" i="42"/>
  <c r="J108" i="42"/>
  <c r="G108" i="42"/>
  <c r="E108" i="42"/>
  <c r="E131" i="42" s="1"/>
  <c r="L108" i="42"/>
  <c r="M104" i="42"/>
  <c r="O51" i="25" s="1"/>
  <c r="J124" i="42"/>
  <c r="J104" i="42"/>
  <c r="L51" i="25" s="1"/>
  <c r="AG22" i="41"/>
  <c r="AF23" i="41"/>
  <c r="H104" i="42"/>
  <c r="J51" i="25" s="1"/>
  <c r="L104" i="42"/>
  <c r="N51" i="25" s="1"/>
  <c r="N101" i="42"/>
  <c r="E126" i="42"/>
  <c r="H13" i="25"/>
  <c r="I13" i="25" s="1"/>
  <c r="G13" i="39"/>
  <c r="D133" i="42"/>
  <c r="P14" i="40"/>
  <c r="Q14" i="40" s="1"/>
  <c r="C26" i="40"/>
  <c r="H14" i="32"/>
  <c r="J37" i="8"/>
  <c r="K37" i="8" s="1"/>
  <c r="O42" i="34"/>
  <c r="F36" i="8" s="1"/>
  <c r="P48" i="39"/>
  <c r="G195" i="42" l="1"/>
  <c r="I43" i="40" s="1"/>
  <c r="O10" i="48"/>
  <c r="P10" i="48" s="1"/>
  <c r="C18" i="25"/>
  <c r="O15" i="25"/>
  <c r="D15" i="25"/>
  <c r="L15" i="25"/>
  <c r="J15" i="25"/>
  <c r="K15" i="25"/>
  <c r="E15" i="25"/>
  <c r="M15" i="25"/>
  <c r="O18" i="25" s="1"/>
  <c r="H15" i="25"/>
  <c r="F15" i="25"/>
  <c r="G15" i="25"/>
  <c r="I15" i="25"/>
  <c r="N15" i="25"/>
  <c r="O13" i="48"/>
  <c r="P13" i="48" s="1"/>
  <c r="O14" i="48"/>
  <c r="P14" i="48" s="1"/>
  <c r="E18" i="39"/>
  <c r="D22" i="48"/>
  <c r="E22" i="48"/>
  <c r="E37" i="48" s="1"/>
  <c r="E39" i="48" s="1"/>
  <c r="G22" i="48"/>
  <c r="H22" i="48"/>
  <c r="I22" i="48"/>
  <c r="J22" i="48"/>
  <c r="K22" i="48"/>
  <c r="L22" i="48"/>
  <c r="M22" i="48"/>
  <c r="N22" i="48"/>
  <c r="C22" i="48"/>
  <c r="F22" i="48"/>
  <c r="D37" i="48"/>
  <c r="D39" i="48" s="1"/>
  <c r="D40" i="48" s="1"/>
  <c r="G36" i="8"/>
  <c r="B15" i="48"/>
  <c r="F159" i="42"/>
  <c r="H14" i="39" s="1"/>
  <c r="H24" i="39" s="1"/>
  <c r="G25" i="39"/>
  <c r="G24" i="39"/>
  <c r="F18" i="39"/>
  <c r="G18" i="39"/>
  <c r="L21" i="40"/>
  <c r="N21" i="40"/>
  <c r="J21" i="40"/>
  <c r="P30" i="39"/>
  <c r="Q30" i="39" s="1"/>
  <c r="P40" i="40"/>
  <c r="Q40" i="40" s="1"/>
  <c r="K21" i="40"/>
  <c r="M21" i="40"/>
  <c r="P36" i="40"/>
  <c r="Q36" i="40" s="1"/>
  <c r="P28" i="40"/>
  <c r="Q28" i="40" s="1"/>
  <c r="P32" i="40"/>
  <c r="Q32" i="40" s="1"/>
  <c r="P27" i="39"/>
  <c r="Q27" i="39" s="1"/>
  <c r="P42" i="39"/>
  <c r="Q42" i="39" s="1"/>
  <c r="P36" i="39"/>
  <c r="Q36" i="39" s="1"/>
  <c r="P40" i="39"/>
  <c r="Q40" i="39" s="1"/>
  <c r="P34" i="39"/>
  <c r="Q34" i="39" s="1"/>
  <c r="P30" i="40"/>
  <c r="Q30" i="40" s="1"/>
  <c r="P42" i="40"/>
  <c r="Q42" i="40" s="1"/>
  <c r="P32" i="39"/>
  <c r="Q32" i="39" s="1"/>
  <c r="P43" i="40"/>
  <c r="Q43" i="40" s="1"/>
  <c r="P35" i="39"/>
  <c r="Q35" i="39" s="1"/>
  <c r="P29" i="40"/>
  <c r="Q29" i="40" s="1"/>
  <c r="P31" i="40"/>
  <c r="Q31" i="40" s="1"/>
  <c r="P39" i="39"/>
  <c r="Q39" i="39" s="1"/>
  <c r="P29" i="39"/>
  <c r="Q29" i="39" s="1"/>
  <c r="P35" i="40"/>
  <c r="Q35" i="40" s="1"/>
  <c r="P33" i="40"/>
  <c r="Q33" i="40" s="1"/>
  <c r="P28" i="39"/>
  <c r="Q28" i="39" s="1"/>
  <c r="P38" i="39"/>
  <c r="Q38" i="39" s="1"/>
  <c r="P37" i="40"/>
  <c r="Q37" i="40" s="1"/>
  <c r="P38" i="40"/>
  <c r="Q38" i="40" s="1"/>
  <c r="P34" i="40"/>
  <c r="Q34" i="40" s="1"/>
  <c r="P37" i="39"/>
  <c r="Q37" i="39" s="1"/>
  <c r="P43" i="39"/>
  <c r="Q43" i="39" s="1"/>
  <c r="P27" i="40"/>
  <c r="Q27" i="40" s="1"/>
  <c r="P39" i="40"/>
  <c r="Q39" i="40" s="1"/>
  <c r="P31" i="39"/>
  <c r="Q31" i="39" s="1"/>
  <c r="P33" i="39"/>
  <c r="Q33" i="39" s="1"/>
  <c r="S9" i="28"/>
  <c r="E127" i="42"/>
  <c r="G41" i="25" s="1"/>
  <c r="F31" i="48" s="1"/>
  <c r="F37" i="48" s="1"/>
  <c r="F39" i="48" s="1"/>
  <c r="S41" i="28"/>
  <c r="AD9" i="28"/>
  <c r="H13" i="40"/>
  <c r="F140" i="42" s="1"/>
  <c r="AD41" i="28"/>
  <c r="I50" i="40"/>
  <c r="G50" i="40"/>
  <c r="E50" i="40"/>
  <c r="K50" i="40"/>
  <c r="J50" i="40"/>
  <c r="N50" i="40"/>
  <c r="C6" i="24"/>
  <c r="G17" i="4"/>
  <c r="H50" i="40"/>
  <c r="D50" i="40"/>
  <c r="F50" i="40"/>
  <c r="O50" i="40"/>
  <c r="L50" i="40"/>
  <c r="E19" i="39"/>
  <c r="E7" i="7"/>
  <c r="G26" i="4"/>
  <c r="G32" i="4"/>
  <c r="G34" i="4"/>
  <c r="G15" i="4"/>
  <c r="G16" i="4"/>
  <c r="G14" i="4"/>
  <c r="N94" i="42"/>
  <c r="N93" i="42"/>
  <c r="N95" i="42"/>
  <c r="P26" i="40"/>
  <c r="Q26" i="40" s="1"/>
  <c r="P50" i="39"/>
  <c r="Q50" i="39" s="1"/>
  <c r="D43" i="45"/>
  <c r="D45" i="45" s="1"/>
  <c r="G45" i="8"/>
  <c r="C51" i="25"/>
  <c r="G44" i="8"/>
  <c r="AN37" i="41"/>
  <c r="N125" i="42"/>
  <c r="U16" i="41" s="1"/>
  <c r="W16" i="41" s="1"/>
  <c r="G131" i="42"/>
  <c r="K131" i="42"/>
  <c r="J131" i="42"/>
  <c r="D131" i="42"/>
  <c r="M131" i="42"/>
  <c r="L131" i="42"/>
  <c r="F131" i="42"/>
  <c r="I131" i="42"/>
  <c r="H131" i="42"/>
  <c r="N123" i="42"/>
  <c r="I16" i="41" s="1"/>
  <c r="K16" i="41" s="1"/>
  <c r="D132" i="42"/>
  <c r="C132" i="42"/>
  <c r="J132" i="42"/>
  <c r="F132" i="42"/>
  <c r="K132" i="42"/>
  <c r="M132" i="42"/>
  <c r="G132" i="42"/>
  <c r="H132" i="42"/>
  <c r="E132" i="42"/>
  <c r="L132" i="42"/>
  <c r="I132" i="42"/>
  <c r="N61" i="42"/>
  <c r="N28" i="42"/>
  <c r="I27" i="42"/>
  <c r="I29" i="42" s="1"/>
  <c r="K26" i="25" s="1"/>
  <c r="J15" i="48" s="1"/>
  <c r="B29" i="42"/>
  <c r="H9" i="28"/>
  <c r="H41" i="28"/>
  <c r="K4" i="36"/>
  <c r="K4" i="39"/>
  <c r="K116" i="42"/>
  <c r="D116" i="42"/>
  <c r="L116" i="42"/>
  <c r="I116" i="42"/>
  <c r="H116" i="42"/>
  <c r="M116" i="42"/>
  <c r="C116" i="42"/>
  <c r="J116" i="42"/>
  <c r="E116" i="42"/>
  <c r="N104" i="42"/>
  <c r="P25" i="40"/>
  <c r="Q25" i="40" s="1"/>
  <c r="P24" i="25"/>
  <c r="Q24" i="25" s="1"/>
  <c r="P25" i="25"/>
  <c r="Q25" i="25" s="1"/>
  <c r="G24" i="4"/>
  <c r="K24" i="24"/>
  <c r="G36" i="4"/>
  <c r="U19" i="41"/>
  <c r="V19" i="41"/>
  <c r="T20" i="41" s="1"/>
  <c r="Z22" i="41"/>
  <c r="AA21" i="41"/>
  <c r="AC21" i="41" s="1"/>
  <c r="N124" i="42"/>
  <c r="O16" i="41" s="1"/>
  <c r="Q16" i="41" s="1"/>
  <c r="P18" i="41"/>
  <c r="D115" i="42" s="1"/>
  <c r="F116" i="42"/>
  <c r="B116" i="42"/>
  <c r="G116" i="42"/>
  <c r="G139" i="42" s="1"/>
  <c r="B132" i="42"/>
  <c r="N109" i="42"/>
  <c r="AI22" i="41"/>
  <c r="E111" i="42"/>
  <c r="E130" i="42"/>
  <c r="H130" i="42"/>
  <c r="H111" i="42"/>
  <c r="K111" i="42"/>
  <c r="K130" i="42"/>
  <c r="J130" i="42"/>
  <c r="J111" i="42"/>
  <c r="M130" i="42"/>
  <c r="M111" i="42"/>
  <c r="I111" i="42"/>
  <c r="I130" i="42"/>
  <c r="L111" i="42"/>
  <c r="L130" i="42"/>
  <c r="N108" i="42"/>
  <c r="B131" i="42"/>
  <c r="N107" i="42"/>
  <c r="B111" i="42"/>
  <c r="B130" i="42"/>
  <c r="D111" i="42"/>
  <c r="D130" i="42"/>
  <c r="C130" i="42"/>
  <c r="C111" i="42"/>
  <c r="C114" i="42"/>
  <c r="B114" i="42"/>
  <c r="K114" i="42"/>
  <c r="H114" i="42"/>
  <c r="E114" i="42"/>
  <c r="L114" i="42"/>
  <c r="I114" i="42"/>
  <c r="G114" i="42"/>
  <c r="J114" i="42"/>
  <c r="D114" i="42"/>
  <c r="M114" i="42"/>
  <c r="F114" i="42"/>
  <c r="AF24" i="41"/>
  <c r="AG23" i="41"/>
  <c r="AI23" i="41" s="1"/>
  <c r="H51" i="25"/>
  <c r="P51" i="25" s="1"/>
  <c r="O104" i="42"/>
  <c r="G111" i="42"/>
  <c r="G130" i="42"/>
  <c r="F111" i="42"/>
  <c r="F130" i="42"/>
  <c r="H19" i="41"/>
  <c r="F126" i="42"/>
  <c r="F127" i="42" s="1"/>
  <c r="H41" i="25" s="1"/>
  <c r="G31" i="48" s="1"/>
  <c r="G37" i="48" s="1"/>
  <c r="G39" i="48" s="1"/>
  <c r="I13" i="40"/>
  <c r="J13" i="25"/>
  <c r="G126" i="42"/>
  <c r="E133" i="42"/>
  <c r="H13" i="39"/>
  <c r="P15" i="40"/>
  <c r="O21" i="40"/>
  <c r="H21" i="40"/>
  <c r="P24" i="40"/>
  <c r="Q24" i="40" s="1"/>
  <c r="I21" i="40"/>
  <c r="G21" i="40"/>
  <c r="F21" i="40"/>
  <c r="D37" i="45"/>
  <c r="D14" i="32"/>
  <c r="C26" i="25"/>
  <c r="F37" i="8"/>
  <c r="G37" i="8" s="1"/>
  <c r="Q48" i="39"/>
  <c r="C48" i="40"/>
  <c r="D48" i="40" s="1"/>
  <c r="K18" i="25" l="1"/>
  <c r="I18" i="25"/>
  <c r="H18" i="25"/>
  <c r="M18" i="25"/>
  <c r="L18" i="25"/>
  <c r="L21" i="25" s="1"/>
  <c r="N18" i="25"/>
  <c r="N21" i="25" s="1"/>
  <c r="D18" i="25"/>
  <c r="D21" i="25" s="1"/>
  <c r="F18" i="25"/>
  <c r="F21" i="25" s="1"/>
  <c r="E18" i="25"/>
  <c r="E21" i="25" s="1"/>
  <c r="G18" i="25"/>
  <c r="G21" i="25" s="1"/>
  <c r="J18" i="25"/>
  <c r="J21" i="25" s="1"/>
  <c r="E40" i="48"/>
  <c r="F40" i="48" s="1"/>
  <c r="G40" i="48" s="1"/>
  <c r="H18" i="39"/>
  <c r="H21" i="39" s="1"/>
  <c r="H25" i="39"/>
  <c r="O22" i="48"/>
  <c r="P22" i="48" s="1"/>
  <c r="G159" i="42"/>
  <c r="I14" i="39" s="1"/>
  <c r="H159" i="42"/>
  <c r="J14" i="39" s="1"/>
  <c r="I25" i="39"/>
  <c r="I18" i="39"/>
  <c r="I21" i="39" s="1"/>
  <c r="I24" i="39"/>
  <c r="E16" i="41"/>
  <c r="M4" i="36"/>
  <c r="K4" i="40" s="1"/>
  <c r="P50" i="40"/>
  <c r="Q50" i="40" s="1"/>
  <c r="D19" i="39"/>
  <c r="D21" i="39" s="1"/>
  <c r="K21" i="25"/>
  <c r="M21" i="25"/>
  <c r="G21" i="39"/>
  <c r="P15" i="39"/>
  <c r="E21" i="39"/>
  <c r="F21" i="39"/>
  <c r="I21" i="25"/>
  <c r="H21" i="25"/>
  <c r="C19" i="39"/>
  <c r="C21" i="39" s="1"/>
  <c r="O21" i="25"/>
  <c r="P15" i="25"/>
  <c r="N131" i="42"/>
  <c r="O17" i="41" s="1"/>
  <c r="Q17" i="41" s="1"/>
  <c r="I4" i="40"/>
  <c r="Q51" i="25"/>
  <c r="D56" i="45"/>
  <c r="C134" i="42"/>
  <c r="E41" i="39" s="1"/>
  <c r="D134" i="42"/>
  <c r="F41" i="39" s="1"/>
  <c r="N132" i="42"/>
  <c r="U17" i="41" s="1"/>
  <c r="W17" i="41" s="1"/>
  <c r="J139" i="42"/>
  <c r="I139" i="42"/>
  <c r="F139" i="42"/>
  <c r="C139" i="42"/>
  <c r="L139" i="42"/>
  <c r="M139" i="42"/>
  <c r="D139" i="42"/>
  <c r="E139" i="42"/>
  <c r="H139" i="42"/>
  <c r="K139" i="42"/>
  <c r="N27" i="42"/>
  <c r="D26" i="25"/>
  <c r="C15" i="48" s="1"/>
  <c r="N29" i="42"/>
  <c r="G115" i="42"/>
  <c r="G118" i="42" s="1"/>
  <c r="B115" i="42"/>
  <c r="D138" i="42" s="1"/>
  <c r="C16" i="41"/>
  <c r="C25" i="7" s="1"/>
  <c r="B31" i="48" s="1"/>
  <c r="B37" i="48" s="1"/>
  <c r="L115" i="42"/>
  <c r="I115" i="42"/>
  <c r="N19" i="41"/>
  <c r="M115" i="42"/>
  <c r="U20" i="41"/>
  <c r="N116" i="42"/>
  <c r="C115" i="42"/>
  <c r="C138" i="42" s="1"/>
  <c r="V20" i="41"/>
  <c r="T21" i="41" s="1"/>
  <c r="C16" i="24"/>
  <c r="C41" i="24"/>
  <c r="A39" i="24" s="1"/>
  <c r="J115" i="42"/>
  <c r="E115" i="42"/>
  <c r="E138" i="42" s="1"/>
  <c r="K115" i="42"/>
  <c r="K138" i="42" s="1"/>
  <c r="Z23" i="41"/>
  <c r="AA22" i="41"/>
  <c r="AC22" i="41" s="1"/>
  <c r="B139" i="42"/>
  <c r="N111" i="42"/>
  <c r="F115" i="42"/>
  <c r="F138" i="42" s="1"/>
  <c r="H115" i="42"/>
  <c r="H138" i="42" s="1"/>
  <c r="W19" i="41"/>
  <c r="F137" i="42"/>
  <c r="E137" i="42"/>
  <c r="C137" i="42"/>
  <c r="J19" i="41"/>
  <c r="I19" i="41"/>
  <c r="AG24" i="41"/>
  <c r="AI24" i="41" s="1"/>
  <c r="AF25" i="41"/>
  <c r="M137" i="42"/>
  <c r="G137" i="42"/>
  <c r="H137" i="42"/>
  <c r="D137" i="42"/>
  <c r="D118" i="42"/>
  <c r="I137" i="42"/>
  <c r="K137" i="42"/>
  <c r="N130" i="42"/>
  <c r="I17" i="41" s="1"/>
  <c r="B134" i="42"/>
  <c r="D41" i="39" s="1"/>
  <c r="E134" i="42"/>
  <c r="G41" i="39" s="1"/>
  <c r="J137" i="42"/>
  <c r="L137" i="42"/>
  <c r="N114" i="42"/>
  <c r="B137" i="42"/>
  <c r="O111" i="42"/>
  <c r="G140" i="42"/>
  <c r="J13" i="40"/>
  <c r="I13" i="39"/>
  <c r="F133" i="42"/>
  <c r="F134" i="42" s="1"/>
  <c r="H41" i="39" s="1"/>
  <c r="K13" i="25"/>
  <c r="H126" i="42"/>
  <c r="H127" i="42" s="1"/>
  <c r="J41" i="25" s="1"/>
  <c r="I31" i="48" s="1"/>
  <c r="G127" i="42"/>
  <c r="I41" i="25" s="1"/>
  <c r="H31" i="48" s="1"/>
  <c r="H37" i="48" s="1"/>
  <c r="H39" i="48" s="1"/>
  <c r="P18" i="40"/>
  <c r="D53" i="45"/>
  <c r="C37" i="48" l="1"/>
  <c r="O15" i="48"/>
  <c r="P15" i="48" s="1"/>
  <c r="I37" i="48"/>
  <c r="I39" i="48" s="1"/>
  <c r="H40" i="48"/>
  <c r="J9" i="28"/>
  <c r="I159" i="42"/>
  <c r="K14" i="39" s="1"/>
  <c r="J25" i="39"/>
  <c r="J24" i="39"/>
  <c r="J18" i="39"/>
  <c r="J21" i="39" s="1"/>
  <c r="P19" i="39"/>
  <c r="J41" i="28"/>
  <c r="J8" i="8"/>
  <c r="U9" i="28"/>
  <c r="G7" i="7"/>
  <c r="AF9" i="28"/>
  <c r="AF41" i="28"/>
  <c r="U41" i="28"/>
  <c r="P21" i="25"/>
  <c r="P18" i="25"/>
  <c r="P26" i="25"/>
  <c r="Q26" i="25" s="1"/>
  <c r="B118" i="42"/>
  <c r="B138" i="42"/>
  <c r="B141" i="42" s="1"/>
  <c r="J138" i="42"/>
  <c r="I138" i="42"/>
  <c r="G138" i="42"/>
  <c r="G141" i="42" s="1"/>
  <c r="L138" i="42"/>
  <c r="M138" i="42"/>
  <c r="D141" i="42"/>
  <c r="N139" i="42"/>
  <c r="U18" i="41" s="1"/>
  <c r="W18" i="41" s="1"/>
  <c r="L118" i="42"/>
  <c r="I118" i="42"/>
  <c r="P19" i="41"/>
  <c r="F141" i="42"/>
  <c r="F118" i="42"/>
  <c r="O19" i="41"/>
  <c r="U21" i="41"/>
  <c r="V21" i="41"/>
  <c r="M118" i="42"/>
  <c r="C118" i="42"/>
  <c r="J118" i="42"/>
  <c r="K118" i="42"/>
  <c r="C141" i="42"/>
  <c r="W20" i="41"/>
  <c r="N115" i="42"/>
  <c r="N118" i="42" s="1"/>
  <c r="E118" i="42"/>
  <c r="Z24" i="41"/>
  <c r="AA23" i="41"/>
  <c r="AC23" i="41" s="1"/>
  <c r="H118" i="42"/>
  <c r="E141" i="42"/>
  <c r="N137" i="42"/>
  <c r="I18" i="41" s="1"/>
  <c r="H20" i="41"/>
  <c r="C41" i="25"/>
  <c r="C30" i="7"/>
  <c r="D39" i="45" s="1"/>
  <c r="D25" i="7"/>
  <c r="K17" i="41"/>
  <c r="C17" i="41"/>
  <c r="AF26" i="41"/>
  <c r="AG25" i="41"/>
  <c r="AI25" i="41" s="1"/>
  <c r="K19" i="41"/>
  <c r="K13" i="40"/>
  <c r="H140" i="42"/>
  <c r="H141" i="42" s="1"/>
  <c r="J13" i="39"/>
  <c r="G133" i="42"/>
  <c r="G134" i="42" s="1"/>
  <c r="I41" i="39" s="1"/>
  <c r="L13" i="25"/>
  <c r="I126" i="42"/>
  <c r="I127" i="42" s="1"/>
  <c r="K41" i="25" s="1"/>
  <c r="J31" i="48" s="1"/>
  <c r="J37" i="48" s="1"/>
  <c r="J39" i="48" s="1"/>
  <c r="P48" i="40"/>
  <c r="Q48" i="40" s="1"/>
  <c r="I40" i="48" l="1"/>
  <c r="J40" i="48" s="1"/>
  <c r="C39" i="48"/>
  <c r="J159" i="42"/>
  <c r="L14" i="39" s="1"/>
  <c r="K25" i="39"/>
  <c r="K24" i="39"/>
  <c r="K18" i="39"/>
  <c r="K21" i="39" s="1"/>
  <c r="N138" i="42"/>
  <c r="O18" i="41" s="1"/>
  <c r="Q18" i="41" s="1"/>
  <c r="Q19" i="41"/>
  <c r="N20" i="41"/>
  <c r="O20" i="41" s="1"/>
  <c r="W21" i="41"/>
  <c r="T22" i="41"/>
  <c r="V22" i="41" s="1"/>
  <c r="T23" i="41" s="1"/>
  <c r="O118" i="42"/>
  <c r="Z25" i="41"/>
  <c r="AA24" i="41"/>
  <c r="AF27" i="41"/>
  <c r="AG26" i="41"/>
  <c r="AI26" i="41" s="1"/>
  <c r="J20" i="41"/>
  <c r="H21" i="41" s="1"/>
  <c r="I20" i="41"/>
  <c r="E25" i="7"/>
  <c r="C41" i="39" s="1"/>
  <c r="F38" i="8"/>
  <c r="D30" i="7"/>
  <c r="K18" i="41"/>
  <c r="I140" i="42"/>
  <c r="I141" i="42" s="1"/>
  <c r="L13" i="40"/>
  <c r="K13" i="39"/>
  <c r="H133" i="42"/>
  <c r="H134" i="42" s="1"/>
  <c r="M13" i="25"/>
  <c r="J126" i="42"/>
  <c r="P20" i="41" l="1"/>
  <c r="N21" i="41" s="1"/>
  <c r="K159" i="42"/>
  <c r="M14" i="39" s="1"/>
  <c r="L24" i="39"/>
  <c r="L25" i="39"/>
  <c r="L18" i="39"/>
  <c r="G38" i="8"/>
  <c r="D15" i="32"/>
  <c r="U22" i="41"/>
  <c r="W22" i="41" s="1"/>
  <c r="AA25" i="41"/>
  <c r="AC25" i="41" s="1"/>
  <c r="Z26" i="41"/>
  <c r="AC24" i="41"/>
  <c r="J21" i="41"/>
  <c r="H22" i="41" s="1"/>
  <c r="I21" i="41"/>
  <c r="F39" i="8"/>
  <c r="AG27" i="41"/>
  <c r="AI27" i="41" s="1"/>
  <c r="AF28" i="41"/>
  <c r="P21" i="41"/>
  <c r="N22" i="41" s="1"/>
  <c r="O21" i="41"/>
  <c r="D54" i="45"/>
  <c r="U23" i="41"/>
  <c r="V23" i="41"/>
  <c r="T24" i="41" s="1"/>
  <c r="Q20" i="41"/>
  <c r="E30" i="7"/>
  <c r="F25" i="7"/>
  <c r="K20" i="41"/>
  <c r="J41" i="39"/>
  <c r="M13" i="40"/>
  <c r="J140" i="42"/>
  <c r="J141" i="42" s="1"/>
  <c r="K126" i="42"/>
  <c r="K127" i="42" s="1"/>
  <c r="M41" i="25" s="1"/>
  <c r="L31" i="48" s="1"/>
  <c r="L37" i="48" s="1"/>
  <c r="L39" i="48" s="1"/>
  <c r="N13" i="25"/>
  <c r="J127" i="42"/>
  <c r="L41" i="25" s="1"/>
  <c r="K31" i="48" s="1"/>
  <c r="L13" i="39"/>
  <c r="I133" i="42"/>
  <c r="I134" i="42" s="1"/>
  <c r="K41" i="39" s="1"/>
  <c r="K37" i="48" l="1"/>
  <c r="L21" i="39"/>
  <c r="L159" i="42"/>
  <c r="N14" i="39" s="1"/>
  <c r="M24" i="39"/>
  <c r="M25" i="39"/>
  <c r="M18" i="39"/>
  <c r="M21" i="39" s="1"/>
  <c r="G39" i="8"/>
  <c r="C34" i="7"/>
  <c r="D47" i="25" s="1"/>
  <c r="C35" i="7"/>
  <c r="Z27" i="41"/>
  <c r="AA27" i="41" s="1"/>
  <c r="AC27" i="41" s="1"/>
  <c r="AA26" i="41"/>
  <c r="AC26" i="41" s="1"/>
  <c r="W23" i="41"/>
  <c r="H38" i="8"/>
  <c r="F30" i="7"/>
  <c r="AG28" i="41"/>
  <c r="AI28" i="41" s="1"/>
  <c r="AF29" i="41"/>
  <c r="Q21" i="41"/>
  <c r="V24" i="41"/>
  <c r="T25" i="41" s="1"/>
  <c r="U24" i="41"/>
  <c r="P22" i="41"/>
  <c r="N23" i="41" s="1"/>
  <c r="O22" i="41"/>
  <c r="I22" i="41"/>
  <c r="J22" i="41"/>
  <c r="H23" i="41" s="1"/>
  <c r="K21" i="41"/>
  <c r="N13" i="40"/>
  <c r="K140" i="42"/>
  <c r="K141" i="42" s="1"/>
  <c r="L126" i="42"/>
  <c r="L127" i="42" s="1"/>
  <c r="N41" i="25" s="1"/>
  <c r="M31" i="48" s="1"/>
  <c r="M37" i="48" s="1"/>
  <c r="M39" i="48" s="1"/>
  <c r="O13" i="25"/>
  <c r="J133" i="42"/>
  <c r="J134" i="42" s="1"/>
  <c r="L41" i="39" s="1"/>
  <c r="M13" i="39"/>
  <c r="K39" i="48" l="1"/>
  <c r="M159" i="42"/>
  <c r="O14" i="39" s="1"/>
  <c r="D19" i="40" s="1"/>
  <c r="N25" i="39"/>
  <c r="N24" i="39"/>
  <c r="N18" i="39"/>
  <c r="N21" i="39" s="1"/>
  <c r="I38" i="8"/>
  <c r="F15" i="32"/>
  <c r="P50" i="25"/>
  <c r="Q50" i="25" s="1"/>
  <c r="D52" i="25"/>
  <c r="G47" i="25"/>
  <c r="G52" i="25" s="1"/>
  <c r="J47" i="25"/>
  <c r="J52" i="25" s="1"/>
  <c r="M47" i="25"/>
  <c r="M52" i="25" s="1"/>
  <c r="AA29" i="41"/>
  <c r="O47" i="25"/>
  <c r="AC29" i="41"/>
  <c r="U25" i="41"/>
  <c r="V25" i="41"/>
  <c r="T26" i="41" s="1"/>
  <c r="Q22" i="41"/>
  <c r="H47" i="25"/>
  <c r="H52" i="25" s="1"/>
  <c r="D34" i="7"/>
  <c r="F40" i="8"/>
  <c r="D16" i="32" s="1"/>
  <c r="K47" i="25"/>
  <c r="K52" i="25" s="1"/>
  <c r="E47" i="25"/>
  <c r="E52" i="25" s="1"/>
  <c r="C36" i="7"/>
  <c r="P23" i="41"/>
  <c r="N24" i="41" s="1"/>
  <c r="O23" i="41"/>
  <c r="F47" i="25"/>
  <c r="F52" i="25" s="1"/>
  <c r="I47" i="25"/>
  <c r="I52" i="25" s="1"/>
  <c r="D35" i="7"/>
  <c r="L47" i="25"/>
  <c r="L52" i="25" s="1"/>
  <c r="N47" i="25"/>
  <c r="N52" i="25" s="1"/>
  <c r="I23" i="41"/>
  <c r="J23" i="41"/>
  <c r="W24" i="41"/>
  <c r="AF30" i="41"/>
  <c r="AG29" i="41"/>
  <c r="AI29" i="41" s="1"/>
  <c r="K22" i="41"/>
  <c r="L140" i="42"/>
  <c r="O13" i="40"/>
  <c r="K133" i="42"/>
  <c r="K134" i="42" s="1"/>
  <c r="M41" i="39" s="1"/>
  <c r="N13" i="39"/>
  <c r="M126" i="42"/>
  <c r="C19" i="40" l="1"/>
  <c r="C21" i="40" s="1"/>
  <c r="O18" i="39"/>
  <c r="O21" i="39" s="1"/>
  <c r="P21" i="39" s="1"/>
  <c r="K40" i="48"/>
  <c r="L40" i="48" s="1"/>
  <c r="M40" i="48" s="1"/>
  <c r="D21" i="40"/>
  <c r="O25" i="39"/>
  <c r="P25" i="39" s="1"/>
  <c r="Q25" i="39" s="1"/>
  <c r="O24" i="39"/>
  <c r="P24" i="39" s="1"/>
  <c r="Q24" i="39" s="1"/>
  <c r="E19" i="40"/>
  <c r="E21" i="40" s="1"/>
  <c r="P14" i="39"/>
  <c r="Q14" i="39" s="1"/>
  <c r="D19" i="32"/>
  <c r="G54" i="25"/>
  <c r="I54" i="25"/>
  <c r="K54" i="25"/>
  <c r="E53" i="25"/>
  <c r="H54" i="25"/>
  <c r="L54" i="25"/>
  <c r="E54" i="25"/>
  <c r="M54" i="25"/>
  <c r="J54" i="25"/>
  <c r="N54" i="25"/>
  <c r="O54" i="25"/>
  <c r="F41" i="8"/>
  <c r="G40" i="8"/>
  <c r="H24" i="41"/>
  <c r="V26" i="41"/>
  <c r="T27" i="41" s="1"/>
  <c r="U26" i="41"/>
  <c r="O24" i="41"/>
  <c r="P24" i="41"/>
  <c r="N25" i="41" s="1"/>
  <c r="K23" i="41"/>
  <c r="Q23" i="41"/>
  <c r="P47" i="25"/>
  <c r="AF31" i="41"/>
  <c r="AG30" i="41"/>
  <c r="D36" i="7"/>
  <c r="C47" i="25"/>
  <c r="C53" i="25" s="1"/>
  <c r="W25" i="41"/>
  <c r="M140" i="42"/>
  <c r="M141" i="42" s="1"/>
  <c r="L141" i="42"/>
  <c r="M127" i="42"/>
  <c r="O41" i="25" s="1"/>
  <c r="N126" i="42"/>
  <c r="N127" i="42" s="1"/>
  <c r="O13" i="39"/>
  <c r="L133" i="42"/>
  <c r="L134" i="42" s="1"/>
  <c r="N41" i="39" s="1"/>
  <c r="P18" i="39" l="1"/>
  <c r="O52" i="25"/>
  <c r="D54" i="39" s="1"/>
  <c r="N31" i="48"/>
  <c r="P19" i="40"/>
  <c r="P21" i="40"/>
  <c r="E12" i="32"/>
  <c r="E15" i="32"/>
  <c r="E14" i="32"/>
  <c r="E27" i="45"/>
  <c r="D16" i="45"/>
  <c r="D14" i="45"/>
  <c r="D15" i="45"/>
  <c r="E16" i="32"/>
  <c r="D18" i="32" s="1"/>
  <c r="E28" i="45"/>
  <c r="E26" i="45"/>
  <c r="D13" i="45"/>
  <c r="F54" i="25"/>
  <c r="P54" i="25" s="1"/>
  <c r="L53" i="25"/>
  <c r="L56" i="25" s="1"/>
  <c r="N53" i="25"/>
  <c r="N56" i="25" s="1"/>
  <c r="I53" i="25"/>
  <c r="I56" i="25" s="1"/>
  <c r="M53" i="25"/>
  <c r="M56" i="25" s="1"/>
  <c r="AI30" i="41"/>
  <c r="D41" i="45"/>
  <c r="E56" i="25"/>
  <c r="D53" i="25"/>
  <c r="D56" i="25" s="1"/>
  <c r="D57" i="25" s="1"/>
  <c r="D60" i="25" s="1"/>
  <c r="G53" i="25"/>
  <c r="G56" i="25" s="1"/>
  <c r="J53" i="25"/>
  <c r="J56" i="25" s="1"/>
  <c r="F46" i="8"/>
  <c r="G46" i="8" s="1"/>
  <c r="G41" i="8"/>
  <c r="J24" i="41"/>
  <c r="I24" i="41"/>
  <c r="P25" i="41"/>
  <c r="N26" i="41" s="1"/>
  <c r="O25" i="41"/>
  <c r="Q47" i="25"/>
  <c r="H53" i="25"/>
  <c r="H56" i="25" s="1"/>
  <c r="Q24" i="41"/>
  <c r="W26" i="41"/>
  <c r="U27" i="41"/>
  <c r="V27" i="41"/>
  <c r="T28" i="41" s="1"/>
  <c r="AG31" i="41"/>
  <c r="AF32" i="41"/>
  <c r="K53" i="25"/>
  <c r="K56" i="25" s="1"/>
  <c r="F53" i="25"/>
  <c r="N140" i="42"/>
  <c r="N141" i="42" s="1"/>
  <c r="O141" i="42"/>
  <c r="M133" i="42"/>
  <c r="O127" i="42"/>
  <c r="N37" i="48" l="1"/>
  <c r="O31" i="48"/>
  <c r="P31" i="48" s="1"/>
  <c r="D28" i="45"/>
  <c r="J28" i="45" s="1"/>
  <c r="D26" i="45"/>
  <c r="J26" i="45" s="1"/>
  <c r="D23" i="45"/>
  <c r="D27" i="45"/>
  <c r="J27" i="45" s="1"/>
  <c r="F56" i="25"/>
  <c r="AI31" i="41"/>
  <c r="D55" i="45"/>
  <c r="E57" i="25"/>
  <c r="E60" i="25" s="1"/>
  <c r="H25" i="41"/>
  <c r="K24" i="41"/>
  <c r="P26" i="41"/>
  <c r="N27" i="41" s="1"/>
  <c r="O26" i="41"/>
  <c r="Q25" i="41"/>
  <c r="AG32" i="41"/>
  <c r="AF33" i="41"/>
  <c r="U28" i="41"/>
  <c r="V28" i="41"/>
  <c r="T29" i="41" s="1"/>
  <c r="W27" i="41"/>
  <c r="M134" i="42"/>
  <c r="O41" i="39" s="1"/>
  <c r="N133" i="42"/>
  <c r="N134" i="42" s="1"/>
  <c r="P41" i="25"/>
  <c r="Q41" i="25" s="1"/>
  <c r="N39" i="48" l="1"/>
  <c r="O37" i="48"/>
  <c r="E19" i="45"/>
  <c r="E18" i="45"/>
  <c r="E20" i="45"/>
  <c r="E37" i="45"/>
  <c r="E13" i="45"/>
  <c r="E23" i="45"/>
  <c r="E22" i="45"/>
  <c r="E45" i="45"/>
  <c r="E17" i="45"/>
  <c r="E14" i="45"/>
  <c r="E21" i="45"/>
  <c r="E16" i="45"/>
  <c r="E39" i="45"/>
  <c r="E15" i="45"/>
  <c r="E24" i="45"/>
  <c r="E25" i="45" s="1"/>
  <c r="D25" i="45" s="1"/>
  <c r="J25" i="45" s="1"/>
  <c r="J35" i="45" s="1"/>
  <c r="D59" i="45" s="1"/>
  <c r="E44" i="45"/>
  <c r="E43" i="45"/>
  <c r="E41" i="45"/>
  <c r="F57" i="25"/>
  <c r="AI32" i="41"/>
  <c r="I25" i="41"/>
  <c r="J25" i="41"/>
  <c r="Q26" i="41"/>
  <c r="V29" i="41"/>
  <c r="T30" i="41" s="1"/>
  <c r="U29" i="41"/>
  <c r="W28" i="41"/>
  <c r="AF34" i="41"/>
  <c r="AG34" i="41" s="1"/>
  <c r="AG33" i="41"/>
  <c r="O27" i="41"/>
  <c r="P27" i="41"/>
  <c r="N28" i="41" s="1"/>
  <c r="P52" i="25"/>
  <c r="O134" i="42"/>
  <c r="O53" i="25"/>
  <c r="O39" i="48" l="1"/>
  <c r="N40" i="48"/>
  <c r="D35" i="45"/>
  <c r="D36" i="45" s="1"/>
  <c r="D38" i="45" s="1"/>
  <c r="D40" i="45" s="1"/>
  <c r="D42" i="45" s="1"/>
  <c r="G57" i="25"/>
  <c r="F60" i="25"/>
  <c r="D61" i="25"/>
  <c r="AI33" i="41"/>
  <c r="K25" i="41"/>
  <c r="H26" i="41"/>
  <c r="W29" i="41"/>
  <c r="P28" i="41"/>
  <c r="N29" i="41" s="1"/>
  <c r="O28" i="41"/>
  <c r="Q27" i="41"/>
  <c r="V30" i="41"/>
  <c r="T31" i="41" s="1"/>
  <c r="U30" i="41"/>
  <c r="AI34" i="41"/>
  <c r="AG36" i="41"/>
  <c r="P41" i="39"/>
  <c r="Q41" i="39" s="1"/>
  <c r="O56" i="25"/>
  <c r="P53" i="25"/>
  <c r="E36" i="45" l="1"/>
  <c r="E40" i="45"/>
  <c r="E38" i="45"/>
  <c r="E35" i="45"/>
  <c r="H57" i="25"/>
  <c r="G60" i="25"/>
  <c r="E42" i="45"/>
  <c r="D47" i="45"/>
  <c r="E47" i="45" s="1"/>
  <c r="AI36" i="41"/>
  <c r="J26" i="41"/>
  <c r="I26" i="41"/>
  <c r="W30" i="41"/>
  <c r="O29" i="41"/>
  <c r="P29" i="41"/>
  <c r="N30" i="41" s="1"/>
  <c r="U31" i="41"/>
  <c r="V31" i="41"/>
  <c r="T32" i="41" s="1"/>
  <c r="Q28" i="41"/>
  <c r="P56" i="25"/>
  <c r="I57" i="25" l="1"/>
  <c r="G61" i="25" s="1"/>
  <c r="H60" i="25"/>
  <c r="D57" i="45"/>
  <c r="H27" i="41"/>
  <c r="K26" i="41"/>
  <c r="Q29" i="41"/>
  <c r="U32" i="41"/>
  <c r="V32" i="41"/>
  <c r="T33" i="41" s="1"/>
  <c r="P30" i="41"/>
  <c r="N31" i="41" s="1"/>
  <c r="O30" i="41"/>
  <c r="W31" i="41"/>
  <c r="J57" i="25" l="1"/>
  <c r="I60" i="25"/>
  <c r="D58" i="45"/>
  <c r="G44" i="45"/>
  <c r="J27" i="41"/>
  <c r="I27" i="41"/>
  <c r="W32" i="41"/>
  <c r="Q30" i="41"/>
  <c r="O31" i="41"/>
  <c r="P31" i="41"/>
  <c r="N32" i="41" s="1"/>
  <c r="V33" i="41"/>
  <c r="T34" i="41" s="1"/>
  <c r="U33" i="41"/>
  <c r="K57" i="25" l="1"/>
  <c r="J60" i="25"/>
  <c r="D61" i="45"/>
  <c r="F87" i="45" s="1"/>
  <c r="J87" i="45" s="1"/>
  <c r="H28" i="41"/>
  <c r="K27" i="41"/>
  <c r="W33" i="41"/>
  <c r="V34" i="41"/>
  <c r="T35" i="41" s="1"/>
  <c r="U34" i="41"/>
  <c r="O32" i="41"/>
  <c r="P32" i="41"/>
  <c r="N33" i="41" s="1"/>
  <c r="Q31" i="41"/>
  <c r="J28" i="41" l="1"/>
  <c r="H29" i="41" s="1"/>
  <c r="L57" i="25"/>
  <c r="K60" i="25"/>
  <c r="I28" i="41"/>
  <c r="W34" i="41"/>
  <c r="U35" i="41"/>
  <c r="V35" i="41"/>
  <c r="V37" i="41" s="1"/>
  <c r="P33" i="41"/>
  <c r="N34" i="41" s="1"/>
  <c r="O33" i="41"/>
  <c r="Q32" i="41"/>
  <c r="J29" i="41" l="1"/>
  <c r="M57" i="25"/>
  <c r="L60" i="25"/>
  <c r="J61" i="25"/>
  <c r="I29" i="41"/>
  <c r="K29" i="41" s="1"/>
  <c r="H30" i="41"/>
  <c r="K28" i="41"/>
  <c r="O34" i="41"/>
  <c r="P34" i="41"/>
  <c r="N35" i="41" s="1"/>
  <c r="W35" i="41"/>
  <c r="U37" i="41"/>
  <c r="Q33" i="41"/>
  <c r="J30" i="41" l="1"/>
  <c r="N57" i="25"/>
  <c r="M60" i="25"/>
  <c r="I30" i="41"/>
  <c r="W37" i="41"/>
  <c r="H31" i="41"/>
  <c r="Q34" i="41"/>
  <c r="O35" i="41"/>
  <c r="P35" i="41"/>
  <c r="P37" i="41" s="1"/>
  <c r="I31" i="41" l="1"/>
  <c r="N60" i="25"/>
  <c r="O57" i="25"/>
  <c r="M61" i="25" s="1"/>
  <c r="K30" i="41"/>
  <c r="J31" i="41"/>
  <c r="Q35" i="41"/>
  <c r="Q37" i="41" s="1"/>
  <c r="O37" i="41"/>
  <c r="O60" i="25" l="1"/>
  <c r="C56" i="39"/>
  <c r="K31" i="41"/>
  <c r="H32" i="41"/>
  <c r="I32" i="41" l="1"/>
  <c r="J32" i="41"/>
  <c r="H33" i="41" l="1"/>
  <c r="K32" i="41"/>
  <c r="J33" i="41" l="1"/>
  <c r="I33" i="41"/>
  <c r="H34" i="41" l="1"/>
  <c r="K33" i="41"/>
  <c r="J34" i="41" l="1"/>
  <c r="I34" i="41"/>
  <c r="H35" i="41"/>
  <c r="J35" i="41" l="1"/>
  <c r="I35" i="41"/>
  <c r="K34" i="41"/>
  <c r="J37" i="41"/>
  <c r="I37" i="41" l="1"/>
  <c r="K35" i="41"/>
  <c r="K37" i="41" s="1"/>
  <c r="AS17" i="41" l="1"/>
  <c r="AQ18" i="41" s="1"/>
  <c r="B18" i="41" s="1"/>
  <c r="AT17" i="41" l="1"/>
  <c r="AR18" i="41"/>
  <c r="AS18" i="41"/>
  <c r="AQ19" i="41" s="1"/>
  <c r="B19" i="41" s="1"/>
  <c r="D17" i="41"/>
  <c r="AT18" i="41" l="1"/>
  <c r="E18" i="41" s="1"/>
  <c r="E17" i="41"/>
  <c r="AR19" i="41"/>
  <c r="AS19" i="41"/>
  <c r="AQ20" i="41" s="1"/>
  <c r="B20" i="41" s="1"/>
  <c r="G41" i="40"/>
  <c r="I41" i="40"/>
  <c r="K41" i="40"/>
  <c r="M41" i="40"/>
  <c r="O41" i="40"/>
  <c r="D41" i="40"/>
  <c r="C18" i="41"/>
  <c r="F41" i="40"/>
  <c r="H41" i="40"/>
  <c r="J41" i="40"/>
  <c r="L41" i="40"/>
  <c r="N41" i="40"/>
  <c r="E41" i="40"/>
  <c r="F51" i="40"/>
  <c r="J51" i="40"/>
  <c r="E51" i="40"/>
  <c r="G51" i="40"/>
  <c r="I51" i="40"/>
  <c r="K51" i="40"/>
  <c r="M51" i="40"/>
  <c r="O51" i="40"/>
  <c r="D18" i="41"/>
  <c r="J44" i="8" s="1"/>
  <c r="H51" i="40"/>
  <c r="L51" i="40"/>
  <c r="D51" i="40"/>
  <c r="N51" i="40"/>
  <c r="H44" i="8"/>
  <c r="C19" i="41" l="1"/>
  <c r="AT19" i="41"/>
  <c r="E19" i="41" s="1"/>
  <c r="G25" i="7"/>
  <c r="C41" i="40" s="1"/>
  <c r="AS20" i="41"/>
  <c r="AR20" i="41"/>
  <c r="I44" i="8"/>
  <c r="C51" i="39"/>
  <c r="P51" i="40"/>
  <c r="P41" i="40"/>
  <c r="D19" i="41"/>
  <c r="O51" i="39"/>
  <c r="K51" i="39"/>
  <c r="D51" i="39"/>
  <c r="F51" i="39"/>
  <c r="H51" i="39"/>
  <c r="J51" i="39"/>
  <c r="L51" i="39"/>
  <c r="N51" i="39"/>
  <c r="G51" i="39"/>
  <c r="M51" i="39"/>
  <c r="E51" i="39"/>
  <c r="I51" i="39"/>
  <c r="K44" i="8"/>
  <c r="C51" i="40"/>
  <c r="AT20" i="41" l="1"/>
  <c r="E20" i="41" s="1"/>
  <c r="C20" i="41"/>
  <c r="P51" i="39"/>
  <c r="Q51" i="39" s="1"/>
  <c r="D20" i="41"/>
  <c r="Q51" i="40"/>
  <c r="AQ21" i="41"/>
  <c r="B21" i="41" s="1"/>
  <c r="Q41" i="40"/>
  <c r="H25" i="7"/>
  <c r="G30" i="7"/>
  <c r="J38" i="8" l="1"/>
  <c r="H15" i="32" s="1"/>
  <c r="H30" i="7"/>
  <c r="AS21" i="41"/>
  <c r="AQ22" i="41" s="1"/>
  <c r="B22" i="41" s="1"/>
  <c r="AR21" i="41"/>
  <c r="AT21" i="41" l="1"/>
  <c r="E21" i="41" s="1"/>
  <c r="AR22" i="41"/>
  <c r="AS22" i="41"/>
  <c r="D22" i="41" s="1"/>
  <c r="D21" i="41"/>
  <c r="K38" i="8"/>
  <c r="J39" i="8"/>
  <c r="C21" i="41"/>
  <c r="G34" i="7" l="1"/>
  <c r="G35" i="7"/>
  <c r="C22" i="41"/>
  <c r="AT22" i="41"/>
  <c r="AQ23" i="41"/>
  <c r="K39" i="8"/>
  <c r="AR23" i="41" l="1"/>
  <c r="B23" i="41"/>
  <c r="H16" i="32"/>
  <c r="G47" i="40"/>
  <c r="G52" i="40" s="1"/>
  <c r="J47" i="40"/>
  <c r="J52" i="40" s="1"/>
  <c r="D47" i="40"/>
  <c r="D52" i="40" s="1"/>
  <c r="M47" i="40"/>
  <c r="M52" i="40" s="1"/>
  <c r="E22" i="41"/>
  <c r="AS23" i="41"/>
  <c r="AT23" i="41" s="1"/>
  <c r="E23" i="41" s="1"/>
  <c r="L47" i="40"/>
  <c r="L52" i="40" s="1"/>
  <c r="I47" i="40"/>
  <c r="I52" i="40" s="1"/>
  <c r="H35" i="7"/>
  <c r="O47" i="40"/>
  <c r="O52" i="40" s="1"/>
  <c r="F47" i="40"/>
  <c r="F52" i="40" s="1"/>
  <c r="E47" i="40"/>
  <c r="E52" i="40" s="1"/>
  <c r="G36" i="7"/>
  <c r="H47" i="40"/>
  <c r="H52" i="40" s="1"/>
  <c r="J40" i="8"/>
  <c r="N47" i="40"/>
  <c r="N52" i="40" s="1"/>
  <c r="K47" i="40"/>
  <c r="K52" i="40" s="1"/>
  <c r="H34" i="7"/>
  <c r="I15" i="32" s="1"/>
  <c r="C23" i="41"/>
  <c r="H19" i="32" l="1"/>
  <c r="I16" i="32" s="1"/>
  <c r="H18" i="32" s="1"/>
  <c r="O54" i="40"/>
  <c r="G54" i="40"/>
  <c r="M54" i="40"/>
  <c r="J53" i="40"/>
  <c r="L54" i="40"/>
  <c r="J54" i="40"/>
  <c r="N54" i="40"/>
  <c r="F54" i="40"/>
  <c r="I54" i="40"/>
  <c r="H54" i="40"/>
  <c r="E54" i="40"/>
  <c r="O53" i="40"/>
  <c r="D23" i="41"/>
  <c r="AQ24" i="41"/>
  <c r="B24" i="41" s="1"/>
  <c r="K40" i="8"/>
  <c r="J41" i="8"/>
  <c r="H36" i="7"/>
  <c r="C47" i="40"/>
  <c r="C53" i="40" s="1"/>
  <c r="P47" i="40"/>
  <c r="I14" i="32" l="1"/>
  <c r="I12" i="32"/>
  <c r="K54" i="40"/>
  <c r="O56" i="40"/>
  <c r="D53" i="40"/>
  <c r="G53" i="40"/>
  <c r="G56" i="40" s="1"/>
  <c r="M53" i="40"/>
  <c r="M56" i="40" s="1"/>
  <c r="J56" i="40"/>
  <c r="F53" i="40"/>
  <c r="AR24" i="41"/>
  <c r="AS24" i="41"/>
  <c r="P52" i="40"/>
  <c r="J46" i="8"/>
  <c r="K46" i="8" s="1"/>
  <c r="K41" i="8"/>
  <c r="Q47" i="40"/>
  <c r="N53" i="40"/>
  <c r="N56" i="40" s="1"/>
  <c r="E53" i="40"/>
  <c r="L53" i="40"/>
  <c r="L56" i="40" s="1"/>
  <c r="I53" i="40"/>
  <c r="I56" i="40" s="1"/>
  <c r="K53" i="40"/>
  <c r="H53" i="40"/>
  <c r="H56" i="40" s="1"/>
  <c r="K56" i="40" l="1"/>
  <c r="F56" i="40"/>
  <c r="C24" i="41"/>
  <c r="AT24" i="41"/>
  <c r="E24" i="41" s="1"/>
  <c r="AQ25" i="41"/>
  <c r="B25" i="41" s="1"/>
  <c r="D24" i="41"/>
  <c r="E56" i="40"/>
  <c r="P53" i="40"/>
  <c r="AR25" i="41" l="1"/>
  <c r="AS25" i="41"/>
  <c r="D25" i="41" s="1"/>
  <c r="C25" i="41" l="1"/>
  <c r="AT25" i="41"/>
  <c r="E25" i="41" s="1"/>
  <c r="AQ26" i="41"/>
  <c r="B26" i="41" s="1"/>
  <c r="AR26" i="41" l="1"/>
  <c r="AS26" i="41"/>
  <c r="C26" i="41" l="1"/>
  <c r="AT26" i="41"/>
  <c r="E26" i="41" s="1"/>
  <c r="D26" i="41"/>
  <c r="AQ27" i="41"/>
  <c r="AS27" i="41" l="1"/>
  <c r="B27" i="41"/>
  <c r="AR27" i="41"/>
  <c r="D27" i="41"/>
  <c r="AQ28" i="41"/>
  <c r="B28" i="41" s="1"/>
  <c r="C27" i="41" l="1"/>
  <c r="AT27" i="41"/>
  <c r="E27" i="41" s="1"/>
  <c r="AS28" i="41"/>
  <c r="D28" i="41" s="1"/>
  <c r="AR28" i="41"/>
  <c r="C28" i="41" l="1"/>
  <c r="AT28" i="41"/>
  <c r="E28" i="41" s="1"/>
  <c r="AQ29" i="41"/>
  <c r="B29" i="41" s="1"/>
  <c r="AS29" i="41" l="1"/>
  <c r="D29" i="41" s="1"/>
  <c r="AR29" i="41"/>
  <c r="C29" i="41" l="1"/>
  <c r="AT29" i="41"/>
  <c r="E29" i="41" s="1"/>
  <c r="AQ30" i="41"/>
  <c r="B30" i="41" s="1"/>
  <c r="AR30" i="41" l="1"/>
  <c r="AS30" i="41"/>
  <c r="D30" i="41" s="1"/>
  <c r="C30" i="41" l="1"/>
  <c r="AT30" i="41"/>
  <c r="E30" i="41" s="1"/>
  <c r="AQ31" i="41"/>
  <c r="B31" i="41" s="1"/>
  <c r="AR31" i="41" l="1"/>
  <c r="C31" i="41" l="1"/>
  <c r="AS31" i="41"/>
  <c r="AT31" i="41" s="1"/>
  <c r="E31" i="41" s="1"/>
  <c r="D31" i="41" l="1"/>
  <c r="AQ32" i="41"/>
  <c r="B32" i="41" s="1"/>
  <c r="AS32" i="41" l="1"/>
  <c r="D32" i="41" s="1"/>
  <c r="AR32" i="41"/>
  <c r="C32" i="41" l="1"/>
  <c r="AT32" i="41"/>
  <c r="E32" i="41" s="1"/>
  <c r="AQ33" i="41"/>
  <c r="B33" i="41" s="1"/>
  <c r="AR33" i="41" l="1"/>
  <c r="AS33" i="41"/>
  <c r="D33" i="41" s="1"/>
  <c r="C33" i="41" l="1"/>
  <c r="AT33" i="41"/>
  <c r="E33" i="41" s="1"/>
  <c r="AQ34" i="41"/>
  <c r="B34" i="41" s="1"/>
  <c r="AR34" i="41" l="1"/>
  <c r="AS34" i="41"/>
  <c r="D34" i="41" s="1"/>
  <c r="C34" i="41" l="1"/>
  <c r="AT34" i="41"/>
  <c r="E34" i="41" s="1"/>
  <c r="AQ35" i="41"/>
  <c r="B35" i="41" s="1"/>
  <c r="AR35" i="41" l="1"/>
  <c r="C35" i="41" s="1"/>
  <c r="AS35" i="41" l="1"/>
  <c r="AT35" i="41" s="1"/>
  <c r="C37" i="41"/>
  <c r="AR37" i="41"/>
  <c r="E35" i="41" l="1"/>
  <c r="E37" i="41" s="1"/>
  <c r="AT37" i="41"/>
  <c r="AS37" i="41"/>
  <c r="D35" i="41"/>
  <c r="D37" i="41" s="1"/>
  <c r="X15" i="35" l="1"/>
  <c r="M39" i="35"/>
  <c r="J60" i="42" s="1"/>
  <c r="J62" i="42" s="1"/>
  <c r="L26" i="39" s="1"/>
  <c r="K60" i="42" l="1"/>
  <c r="K62" i="42" s="1"/>
  <c r="M26" i="39" s="1"/>
  <c r="B60" i="42"/>
  <c r="B62" i="42" s="1"/>
  <c r="I60" i="42"/>
  <c r="I62" i="42" s="1"/>
  <c r="K26" i="39" s="1"/>
  <c r="M42" i="35"/>
  <c r="H36" i="8" s="1"/>
  <c r="I36" i="8" s="1"/>
  <c r="H60" i="42"/>
  <c r="H62" i="42" s="1"/>
  <c r="J26" i="39" s="1"/>
  <c r="C60" i="42"/>
  <c r="C62" i="42" s="1"/>
  <c r="E26" i="39" s="1"/>
  <c r="G60" i="42"/>
  <c r="G62" i="42" s="1"/>
  <c r="I26" i="39" s="1"/>
  <c r="E60" i="42"/>
  <c r="E62" i="42" s="1"/>
  <c r="G26" i="39" s="1"/>
  <c r="L60" i="42"/>
  <c r="L62" i="42" s="1"/>
  <c r="N26" i="39" s="1"/>
  <c r="M60" i="42"/>
  <c r="M62" i="42" s="1"/>
  <c r="O26" i="39" s="1"/>
  <c r="D60" i="42"/>
  <c r="D62" i="42" s="1"/>
  <c r="F26" i="39" s="1"/>
  <c r="F60" i="42"/>
  <c r="F62" i="42" s="1"/>
  <c r="H26" i="39" s="1"/>
  <c r="D26" i="39" l="1"/>
  <c r="N62" i="42"/>
  <c r="N60" i="42"/>
  <c r="H37" i="8"/>
  <c r="C26" i="39"/>
  <c r="F14" i="32"/>
  <c r="H39" i="8" l="1"/>
  <c r="I39" i="8" s="1"/>
  <c r="I37" i="8"/>
  <c r="P26" i="39"/>
  <c r="Q26" i="39" s="1"/>
  <c r="E35" i="7" l="1"/>
  <c r="F35" i="7" s="1"/>
  <c r="E34" i="7"/>
  <c r="F16" i="32" l="1"/>
  <c r="E47" i="39"/>
  <c r="E52" i="39" s="1"/>
  <c r="J47" i="39"/>
  <c r="J52" i="39" s="1"/>
  <c r="M47" i="39"/>
  <c r="M52" i="39" s="1"/>
  <c r="D47" i="39"/>
  <c r="D52" i="39" s="1"/>
  <c r="G47" i="39"/>
  <c r="G52" i="39" s="1"/>
  <c r="O47" i="39"/>
  <c r="O52" i="39" s="1"/>
  <c r="I47" i="39"/>
  <c r="I52" i="39" s="1"/>
  <c r="F47" i="39"/>
  <c r="F52" i="39" s="1"/>
  <c r="L47" i="39"/>
  <c r="L52" i="39" s="1"/>
  <c r="H40" i="8"/>
  <c r="H41" i="8" s="1"/>
  <c r="K47" i="39"/>
  <c r="K52" i="39" s="1"/>
  <c r="H47" i="39"/>
  <c r="H52" i="39" s="1"/>
  <c r="E36" i="7"/>
  <c r="N47" i="39"/>
  <c r="N52" i="39" s="1"/>
  <c r="F34" i="7"/>
  <c r="F19" i="32" l="1"/>
  <c r="G16" i="32" s="1"/>
  <c r="F18" i="32" s="1"/>
  <c r="N54" i="39"/>
  <c r="K54" i="39"/>
  <c r="H54" i="39"/>
  <c r="F54" i="39"/>
  <c r="O54" i="39"/>
  <c r="M54" i="39"/>
  <c r="I54" i="39"/>
  <c r="G54" i="39"/>
  <c r="L54" i="39"/>
  <c r="J54" i="39"/>
  <c r="D54" i="40"/>
  <c r="I40" i="8"/>
  <c r="F36" i="7"/>
  <c r="C47" i="39"/>
  <c r="C53" i="39" s="1"/>
  <c r="P47" i="39"/>
  <c r="H46" i="8"/>
  <c r="I46" i="8" s="1"/>
  <c r="I41" i="8"/>
  <c r="G14" i="32" l="1"/>
  <c r="G15" i="32"/>
  <c r="G12" i="32"/>
  <c r="E54" i="39"/>
  <c r="P54" i="39" s="1"/>
  <c r="P52" i="39"/>
  <c r="E53" i="39"/>
  <c r="K53" i="39"/>
  <c r="K56" i="39" s="1"/>
  <c r="N53" i="39"/>
  <c r="N56" i="39" s="1"/>
  <c r="L53" i="39"/>
  <c r="L56" i="39" s="1"/>
  <c r="P54" i="40"/>
  <c r="D56" i="40"/>
  <c r="I53" i="39"/>
  <c r="I56" i="39" s="1"/>
  <c r="F53" i="39"/>
  <c r="F56" i="39" s="1"/>
  <c r="H53" i="39"/>
  <c r="H56" i="39" s="1"/>
  <c r="O53" i="39"/>
  <c r="O56" i="39" s="1"/>
  <c r="J53" i="39"/>
  <c r="J56" i="39" s="1"/>
  <c r="D53" i="39"/>
  <c r="D56" i="39" s="1"/>
  <c r="D57" i="39" s="1"/>
  <c r="D60" i="39" s="1"/>
  <c r="G53" i="39"/>
  <c r="G56" i="39" s="1"/>
  <c r="M53" i="39"/>
  <c r="M56" i="39" s="1"/>
  <c r="Q47" i="39"/>
  <c r="E56" i="39" l="1"/>
  <c r="E57" i="39" s="1"/>
  <c r="P53" i="39"/>
  <c r="F57" i="39" l="1"/>
  <c r="D61" i="39" s="1"/>
  <c r="E60" i="39"/>
  <c r="P56" i="39"/>
  <c r="G57" i="39" l="1"/>
  <c r="F60" i="39"/>
  <c r="G60" i="39" l="1"/>
  <c r="H57" i="39"/>
  <c r="I57" i="39" l="1"/>
  <c r="G61" i="39" s="1"/>
  <c r="H60" i="39"/>
  <c r="J57" i="39" l="1"/>
  <c r="I60" i="39"/>
  <c r="J60" i="39" l="1"/>
  <c r="K57" i="39"/>
  <c r="L57" i="39" l="1"/>
  <c r="K60" i="39"/>
  <c r="M57" i="39" l="1"/>
  <c r="L60" i="39"/>
  <c r="J61" i="39"/>
  <c r="M60" i="39" l="1"/>
  <c r="N57" i="39"/>
  <c r="O57" i="39" l="1"/>
  <c r="N60" i="39"/>
  <c r="C56" i="40" l="1"/>
  <c r="O60" i="39"/>
  <c r="M61" i="39"/>
  <c r="D57" i="40" l="1"/>
  <c r="P56" i="40"/>
  <c r="D60" i="40" l="1"/>
  <c r="E57" i="40"/>
  <c r="F57" i="40" l="1"/>
  <c r="E60" i="40"/>
  <c r="G57" i="40" l="1"/>
  <c r="F60" i="40"/>
  <c r="D61" i="40"/>
  <c r="G60" i="40" l="1"/>
  <c r="H57" i="40"/>
  <c r="I57" i="40" l="1"/>
  <c r="H60" i="40"/>
  <c r="J57" i="40" l="1"/>
  <c r="I60" i="40"/>
  <c r="G61" i="40"/>
  <c r="J60" i="40" l="1"/>
  <c r="K57" i="40"/>
  <c r="L57" i="40" l="1"/>
  <c r="K60" i="40"/>
  <c r="M57" i="40" l="1"/>
  <c r="L60" i="40"/>
  <c r="J61" i="40"/>
  <c r="M60" i="40" l="1"/>
  <c r="N57" i="40"/>
  <c r="O57" i="40" l="1"/>
  <c r="N60" i="40"/>
  <c r="O60" i="40" l="1"/>
  <c r="M6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Ekkehard Arnold</author>
    <author>Arnold.Ekkehard</author>
    <author>HWK</author>
    <author>Vogel.Tobias</author>
  </authors>
  <commentList>
    <comment ref="C14" authorId="0" shapeId="0" xr:uid="{00000000-0006-0000-0000-000001000000}">
      <text>
        <r>
          <rPr>
            <sz val="10"/>
            <color indexed="81"/>
            <rFont val="Arial"/>
            <family val="2"/>
          </rPr>
          <t>Dieser Unternehmensname wird in den Planungsrechnungen übernommen.</t>
        </r>
      </text>
    </comment>
    <comment ref="B15" authorId="1" shapeId="0" xr:uid="{00000000-0006-0000-0000-000002000000}">
      <text>
        <r>
          <rPr>
            <sz val="10"/>
            <color indexed="81"/>
            <rFont val="Arial"/>
            <family val="2"/>
          </rPr>
          <t>Bitte die geplante Rechtsform in der Dropdown-Auswahlliste auswählen.</t>
        </r>
      </text>
    </comment>
    <comment ref="D16" authorId="2" shapeId="0" xr:uid="{00000000-0006-0000-0000-000003000000}">
      <text>
        <r>
          <rPr>
            <sz val="10"/>
            <color indexed="81"/>
            <rFont val="Arial"/>
            <family val="2"/>
          </rPr>
          <t>Dieses Datum wird als Beginn Ihres Geschäftsjahres in den Planungsrechnugen übernommen.</t>
        </r>
      </text>
    </comment>
    <comment ref="B18" authorId="3" shapeId="0" xr:uid="{00000000-0006-0000-0000-000004000000}">
      <text>
        <r>
          <rPr>
            <sz val="10"/>
            <color indexed="81"/>
            <rFont val="Arial"/>
            <family val="2"/>
          </rPr>
          <t>Bei Inanspruchnahme der Kleinunternehmerregelung stellen Sie Ihren Kunden keine Umsatzsteuer in Rechnung. Sie sind dagegen auch nicht zum Vorsteuerabzug berechtigt.</t>
        </r>
        <r>
          <rPr>
            <sz val="9"/>
            <color indexed="81"/>
            <rFont val="Tahoma"/>
            <family val="2"/>
          </rPr>
          <t xml:space="preserve">
Im Gründungsplaner wird anhand Ihrer Angaben automatisch kalkuliert, ob sie die Grenzwerte i.H.v. 22.000 EUR im ersten und i.H.v. 50.000 EUR im darauf folgenden Jahr überschreiten und ob die Kleinunternehmerregelung für Sie in Betracht kommt, oder nicht.</t>
        </r>
      </text>
    </comment>
    <comment ref="J23" authorId="1" shapeId="0" xr:uid="{00000000-0006-0000-0000-000005000000}">
      <text>
        <r>
          <rPr>
            <sz val="10"/>
            <color indexed="81"/>
            <rFont val="Arial"/>
            <family val="2"/>
          </rPr>
          <t>Durch das Anklicken der farbigen Felder kömmen Sie zu den jeweiligen Tabellenblättern.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Hemens</author>
    <author xml:space="preserve"> </author>
  </authors>
  <commentList>
    <comment ref="M7" authorId="0" shapeId="0" xr:uid="{00000000-0006-0000-0C00-000001000000}">
      <text>
        <r>
          <rPr>
            <sz val="10"/>
            <color indexed="81"/>
            <rFont val="Arial"/>
            <family val="2"/>
          </rPr>
          <t>Mit den folgenden Planalternativen verschaffen Sie sich mehr Klarkeit darüber, ob und wie Sie Ihre Planumsätze auch erreichen können. 
Davon hängt Ihre Entscheidung ab, ob Sie sich selbständig machen sollten.
Nutzen Sie die für die Abschätzung Ihres Vorhabens passende Umsatzplanung.</t>
        </r>
        <r>
          <rPr>
            <sz val="9"/>
            <color indexed="81"/>
            <rFont val="Tahoma"/>
            <family val="2"/>
          </rPr>
          <t xml:space="preserve">
 </t>
        </r>
      </text>
    </comment>
    <comment ref="C12" authorId="1" shapeId="0" xr:uid="{00000000-0006-0000-0C00-000002000000}">
      <text>
        <r>
          <rPr>
            <sz val="10"/>
            <color indexed="81"/>
            <rFont val="Arial"/>
            <family val="2"/>
          </rPr>
          <t>Gründerzuschuß bzw. Einstiegsgeld werden berücksichtigt</t>
        </r>
      </text>
    </comment>
    <comment ref="A18" authorId="2" shapeId="0" xr:uid="{00000000-0006-0000-0C00-000003000000}">
      <text>
        <r>
          <rPr>
            <sz val="10"/>
            <color indexed="81"/>
            <rFont val="Arial"/>
            <family val="2"/>
          </rPr>
          <t>Hier Materianeinsatz</t>
        </r>
        <r>
          <rPr>
            <b/>
            <sz val="10"/>
            <color indexed="81"/>
            <rFont val="Arial"/>
            <family val="2"/>
          </rPr>
          <t xml:space="preserve"> inkl. Fremdleistungen.</t>
        </r>
        <r>
          <rPr>
            <sz val="10"/>
            <color indexed="81"/>
            <rFont val="Arial"/>
            <family val="2"/>
          </rPr>
          <t xml:space="preserve">
Bitte Quote in % zum Nettoumsatz angeben, z.B. branchenübliche Quote.</t>
        </r>
      </text>
    </comment>
    <comment ref="E18" authorId="2" shapeId="0" xr:uid="{00000000-0006-0000-0C00-000004000000}">
      <text>
        <r>
          <rPr>
            <sz val="10"/>
            <color indexed="81"/>
            <rFont val="Arial"/>
            <family val="2"/>
          </rPr>
          <t>Bitte Quote in % zum Nettoumsatz angeben, z.B. branchenübliche Quote.</t>
        </r>
      </text>
    </comment>
    <comment ref="G18" authorId="2" shapeId="0" xr:uid="{00000000-0006-0000-0C00-000005000000}">
      <text>
        <r>
          <rPr>
            <sz val="10"/>
            <color indexed="81"/>
            <rFont val="Arial"/>
            <family val="2"/>
          </rPr>
          <t>Bitte Quote in % zum Nettoumsatz angeben, z.B. branchenübliche Quote.</t>
        </r>
      </text>
    </comment>
    <comment ref="I18" authorId="2" shapeId="0" xr:uid="{00000000-0006-0000-0C00-000006000000}">
      <text>
        <r>
          <rPr>
            <sz val="10"/>
            <color indexed="81"/>
            <rFont val="Arial"/>
            <family val="2"/>
          </rPr>
          <t>Bitte Quote in % zum Nettoumsatz angeben, z.B. branchenübliche Quote</t>
        </r>
      </text>
    </comment>
    <comment ref="D19" authorId="0" shapeId="0" xr:uid="{00000000-0006-0000-0C00-000007000000}">
      <text>
        <r>
          <rPr>
            <sz val="10"/>
            <color indexed="81"/>
            <rFont val="Arial"/>
            <family val="2"/>
          </rPr>
          <t>Gerundeter Wert</t>
        </r>
      </text>
    </comment>
    <comment ref="F19" authorId="0" shapeId="0" xr:uid="{00000000-0006-0000-0C00-000008000000}">
      <text>
        <r>
          <rPr>
            <sz val="10"/>
            <color indexed="81"/>
            <rFont val="Arial"/>
            <family val="2"/>
          </rPr>
          <t>Gerundeter Wert</t>
        </r>
      </text>
    </comment>
    <comment ref="H19" authorId="0" shapeId="0" xr:uid="{00000000-0006-0000-0C00-000009000000}">
      <text>
        <r>
          <rPr>
            <sz val="10"/>
            <color indexed="81"/>
            <rFont val="Arial"/>
            <family val="2"/>
          </rPr>
          <t>Gerundeter Wert</t>
        </r>
      </text>
    </comment>
    <comment ref="A31" authorId="1" shapeId="0" xr:uid="{00000000-0006-0000-0C00-00000A000000}">
      <text>
        <r>
          <rPr>
            <sz val="10"/>
            <color indexed="81"/>
            <rFont val="Arial"/>
            <family val="2"/>
          </rPr>
          <t>Es wird eine 5-Tage-Woche unterstellt. Abweichende Tagesarbeitszeit bitte eintragen.</t>
        </r>
      </text>
    </comment>
    <comment ref="A49" authorId="3" shapeId="0" xr:uid="{00000000-0006-0000-0C00-00000B000000}">
      <text>
        <r>
          <rPr>
            <sz val="10"/>
            <color indexed="81"/>
            <rFont val="Arial"/>
            <family val="2"/>
          </rPr>
          <t>Der Materialeinsatz wird  als - branchenüblicher -%-Wert des Gesamtumsatzes eingegeben.</t>
        </r>
      </text>
    </comment>
    <comment ref="A50" authorId="3" shapeId="0" xr:uid="{00000000-0006-0000-0C00-00000C000000}">
      <text>
        <r>
          <rPr>
            <sz val="10"/>
            <color indexed="81"/>
            <rFont val="Arial"/>
            <family val="2"/>
          </rPr>
          <t>Aufschlag auf den Materfialeinsatz zur Deckung der Beschaffungsgemeinkosten sowie eines anteiligen Gewinns.</t>
        </r>
      </text>
    </comment>
    <comment ref="A78" authorId="3" shapeId="0" xr:uid="{00000000-0006-0000-0C00-00000D000000}">
      <text>
        <r>
          <rPr>
            <sz val="10"/>
            <color indexed="81"/>
            <rFont val="Arial"/>
            <family val="2"/>
          </rPr>
          <t xml:space="preserve">In diesem Tabellenbereich können Sie anhand der von Ihnen erwarteten Kunden pro Tag den möglichen Jahresumsatz (incl. MWSt) ermitteln. </t>
        </r>
      </text>
    </comment>
    <comment ref="A86" authorId="3" shapeId="0" xr:uid="{00000000-0006-0000-0C00-00000E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N87" authorId="0" shapeId="0" xr:uid="{00000000-0006-0000-0C00-00000F000000}">
      <text>
        <r>
          <rPr>
            <b/>
            <sz val="10"/>
            <color indexed="81"/>
            <rFont val="Arial"/>
            <family val="2"/>
          </rPr>
          <t>Wenn</t>
        </r>
        <r>
          <rPr>
            <sz val="10"/>
            <color indexed="81"/>
            <rFont val="Arial"/>
            <family val="2"/>
          </rPr>
          <t xml:space="preserve"> in dieser Hilfstabelle  nur einige Umsatzbeispiele erfasst werden, ist  die Summe dieser Bereiche  kleiner als 100%. </t>
        </r>
      </text>
    </comment>
    <comment ref="C113" authorId="0" shapeId="0" xr:uid="{00000000-0006-0000-0C00-000010000000}">
      <text>
        <r>
          <rPr>
            <sz val="9"/>
            <color indexed="81"/>
            <rFont val="Arial"/>
            <family val="2"/>
          </rPr>
          <t>Bitte die Zeitspanne in der Dropdown-Auswahlliste auswählen.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HWK</author>
    <author>Arnold</author>
  </authors>
  <commentList>
    <comment ref="F9" authorId="0" shapeId="0" xr:uid="{00000000-0006-0000-0D00-000001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H9" authorId="0" shapeId="0" xr:uid="{00000000-0006-0000-0D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J9" authorId="0" shapeId="0" xr:uid="{00000000-0006-0000-0D00-000003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D45" authorId="1" shapeId="0" xr:uid="{00000000-0006-0000-0D00-000004000000}">
      <text>
        <r>
          <rPr>
            <sz val="10"/>
            <color indexed="81"/>
            <rFont val="Arial"/>
            <family val="2"/>
          </rPr>
          <t xml:space="preserve">Unternehmerlohn wird nur bei Einzelunternehmen / Personengesellschaften angezeigt; bei Kapitalgesellschaften bereits mit dem Geschäftsführergehalt in den Blättern "Personalkosten" erfasst.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Arnold</author>
    <author xml:space="preserve"> </author>
  </authors>
  <commentList>
    <comment ref="E8" authorId="0" shapeId="0" xr:uid="{00000000-0006-0000-0E00-000001000000}">
      <text>
        <r>
          <rPr>
            <sz val="9"/>
            <color indexed="81"/>
            <rFont val="Tahoma"/>
            <family val="2"/>
          </rPr>
          <t>Bitte eingeben:
1 - für das erste Geschäftsjahr
2 - für das zweite Geschäftsjahr
3 - für das dritte Geschätsjahr
Entsprechend werden jeweils die vorher ermittelten Werte übernommen.</t>
        </r>
      </text>
    </comment>
    <comment ref="D10" authorId="1" shapeId="0" xr:uid="{00000000-0006-0000-0E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r>
          <rPr>
            <sz val="8"/>
            <color indexed="81"/>
            <rFont val="Tahoma"/>
            <family val="2"/>
          </rPr>
          <t xml:space="preserve">
</t>
        </r>
      </text>
    </comment>
    <comment ref="J35" authorId="0" shapeId="0" xr:uid="{00000000-0006-0000-0E00-000003000000}">
      <text>
        <r>
          <rPr>
            <sz val="10"/>
            <color indexed="81"/>
            <rFont val="Arial"/>
            <family val="2"/>
          </rPr>
          <t>Diese Aufschläge werden - kostenmindernd  - bei der Ermittlung der über den Stundenkostensatz abzurechnenden Kosten einbezogen.</t>
        </r>
      </text>
    </comment>
    <comment ref="C43" authorId="2" shapeId="0" xr:uid="{00000000-0006-0000-0E00-000004000000}">
      <text>
        <r>
          <rPr>
            <sz val="10"/>
            <color indexed="81"/>
            <rFont val="Arial"/>
            <family val="2"/>
          </rPr>
          <t>Unternehmerlohn wird nur bei Einzelunternehmen/ Personengesellschaften angezeigt;  bei Kapitalgesellschaften ist das in den Personalkosten erfasste Gschäftsführergehalt ggf. zu korrigieren.</t>
        </r>
      </text>
    </comment>
    <comment ref="C44" authorId="0" shapeId="0" xr:uid="{00000000-0006-0000-0E00-000005000000}">
      <text>
        <r>
          <rPr>
            <sz val="10"/>
            <color indexed="81"/>
            <rFont val="Arial"/>
            <family val="2"/>
          </rPr>
          <t>Hier können z.B. erfasst werden:
- Kalkulatorische Miete</t>
        </r>
        <r>
          <rPr>
            <sz val="9"/>
            <color indexed="81"/>
            <rFont val="Tahoma"/>
            <family val="2"/>
          </rPr>
          <t xml:space="preserve">
</t>
        </r>
        <r>
          <rPr>
            <sz val="10"/>
            <color indexed="81"/>
            <rFont val="Arial"/>
            <family val="2"/>
          </rPr>
          <t>- Kalulatorische Personalkosten Lebenspartner
- Geplante Gewinnmarge
- ...</t>
        </r>
      </text>
    </comment>
    <comment ref="B69" authorId="0" shapeId="0" xr:uid="{00000000-0006-0000-0E00-000006000000}">
      <text>
        <r>
          <rPr>
            <sz val="10"/>
            <color indexed="81"/>
            <rFont val="Arial"/>
            <family val="2"/>
          </rPr>
          <t>Es wird eine 5-Tage-Woche unterstellt.</t>
        </r>
      </text>
    </comment>
    <comment ref="J85" authorId="0" shapeId="0" xr:uid="{00000000-0006-0000-0E00-000007000000}">
      <text>
        <r>
          <rPr>
            <sz val="10"/>
            <color indexed="81"/>
            <rFont val="Arial"/>
            <family val="2"/>
          </rPr>
          <t>Hier bitte den aktuellen MWSt-Satz eingeben, um einen "Brutto" - Wert zu ermitteln.
- So kann eine Vergleichbarkeit mit dem "am Markt" erzielbaren Stundenverrechnungsatz erreicht werden.</t>
        </r>
      </text>
    </comment>
    <comment ref="Y90" authorId="3" shapeId="0" xr:uid="{00000000-0006-0000-0E00-000008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J103" authorId="0" shapeId="0" xr:uid="{00000000-0006-0000-0E00-000009000000}">
      <text>
        <r>
          <rPr>
            <sz val="10"/>
            <color indexed="81"/>
            <rFont val="Arial"/>
            <family val="2"/>
          </rPr>
          <t>Bitte  den  "am Markt" erzielten - Brutto Stundenverrechnungssatz  eingeben.</t>
        </r>
      </text>
    </comment>
    <comment ref="AA122" authorId="1" shapeId="0" xr:uid="{00000000-0006-0000-0E00-00000A000000}">
      <text>
        <r>
          <rPr>
            <sz val="9"/>
            <color indexed="81"/>
            <rFont val="Arial"/>
            <family val="2"/>
          </rPr>
          <t>Je nach betrachteter Zeitperiode bitte eingeben:
Jahr
Monat 
Woche 
Tag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Kortenjan Norbert</author>
    <author>Hemens</author>
    <author>HWK</author>
    <author>Arnold.Ekkehard</author>
    <author>Ekkehard Arnold</author>
    <author xml:space="preserve"> </author>
    <author>Ingrid</author>
  </authors>
  <commentList>
    <comment ref="A2" authorId="0" shapeId="0" xr:uid="{00000000-0006-0000-1000-000001000000}">
      <text>
        <r>
          <rPr>
            <sz val="10"/>
            <color indexed="81"/>
            <rFont val="Segoe UI"/>
            <family val="2"/>
          </rPr>
          <t>Wenn Sie bei Nutzung von OpenOffice die vorgeschlagenen Werte verändern möchten, gehen Sie bitte wie folgt vor:
Markieren Sie die Zellen, die Sie verändern wollen. Anschließend wählen Sie im Menü "Daten" den Unterpunkt "Gültigkeit…" aus. Danach deaktivieren Sie im Reiter "Fehlermeldung" die Funktion "Fehlermeldung bei Eingabe ungültiger Werte anzeigen" indem Sie das Häkchen entfernen.</t>
        </r>
      </text>
    </comment>
    <comment ref="B7" authorId="1" shapeId="0" xr:uid="{00000000-0006-0000-1000-000002000000}">
      <text>
        <r>
          <rPr>
            <sz val="10"/>
            <color indexed="81"/>
            <rFont val="Arial"/>
            <family val="2"/>
          </rPr>
          <t>Erfolgen Ihre Umsätze regelmäßig gegen Barzahlung, entstehen im ersten Monat  100% Zahlungeingänge. Wenn Sie Rechnungen schreiben, müssen Sie mit verzögertem Zahlngseingang rechnen. Bitte schätzen  Sie  die Verteilung des Zahlungseingangs auf drei Monate.</t>
        </r>
      </text>
    </comment>
    <comment ref="D13" authorId="1" shapeId="0" xr:uid="{00000000-0006-0000-1000-000003000000}">
      <text>
        <r>
          <rPr>
            <sz val="10"/>
            <color indexed="81"/>
            <rFont val="Arial"/>
            <family val="2"/>
          </rPr>
          <t>Der Anfangsmonat wird auf der Startseite festgelegt.</t>
        </r>
      </text>
    </comment>
    <comment ref="P13" authorId="2" shapeId="0" xr:uid="{00000000-0006-0000-1000-000004000000}">
      <text>
        <r>
          <rPr>
            <sz val="10"/>
            <color indexed="81"/>
            <rFont val="Arial"/>
            <family val="2"/>
          </rPr>
          <t>Hier wird die  Summe der Monatswerte erfasst. Diese Summe muss mit den Soll-Werten in Spalte C übereinstimmen.</t>
        </r>
        <r>
          <rPr>
            <sz val="8"/>
            <color indexed="81"/>
            <rFont val="Arial"/>
            <family val="2"/>
          </rPr>
          <t xml:space="preserve">
</t>
        </r>
      </text>
    </comment>
    <comment ref="A14" authorId="1" shapeId="0" xr:uid="{00000000-0006-0000-1000-000005000000}">
      <text>
        <r>
          <rPr>
            <sz val="10"/>
            <color indexed="81"/>
            <rFont val="Arial"/>
            <family val="2"/>
          </rPr>
          <t xml:space="preserve">Bei der Verteilung des Jahresumsatzes auf die einzelnen Monate sollten saisonale und sonstige  Schwankungen berücksichtigt werden. </t>
        </r>
      </text>
    </comment>
    <comment ref="A15" authorId="1" shapeId="0" xr:uid="{00000000-0006-0000-1000-000006000000}">
      <text>
        <r>
          <rPr>
            <sz val="10"/>
            <color indexed="81"/>
            <rFont val="Arial"/>
            <family val="2"/>
          </rPr>
          <t>Besteuerung nach vereinbarten Entgelten (Soll - Besteuerung).</t>
        </r>
      </text>
    </comment>
    <comment ref="A18" authorId="1" shapeId="0" xr:uid="{00000000-0006-0000-1000-000007000000}">
      <text>
        <r>
          <rPr>
            <sz val="10"/>
            <color indexed="81"/>
            <rFont val="Arial"/>
            <family val="2"/>
          </rPr>
          <t>Die  Einzahlungen hängen ab von den oben angegebenen  Zahlungszielen.</t>
        </r>
      </text>
    </comment>
    <comment ref="A19" authorId="1" shapeId="0" xr:uid="{00000000-0006-0000-1000-000008000000}">
      <text>
        <r>
          <rPr>
            <sz val="10"/>
            <color indexed="81"/>
            <rFont val="Arial"/>
            <family val="2"/>
          </rPr>
          <t>z.B. Darlehen, private Einlagen.</t>
        </r>
      </text>
    </comment>
    <comment ref="C19" authorId="3" shapeId="0" xr:uid="{00000000-0006-0000-1000-000009000000}">
      <text>
        <r>
          <rPr>
            <sz val="10"/>
            <color indexed="81"/>
            <rFont val="Arial"/>
            <family val="2"/>
          </rPr>
          <t>Erfasst werden aus Blatt: Finanzierung  die Bareinlage, C11, C12 und die Darlehen, C26.</t>
        </r>
      </text>
    </comment>
    <comment ref="A24" authorId="1" shapeId="0" xr:uid="{00000000-0006-0000-1000-00000A000000}">
      <text>
        <r>
          <rPr>
            <sz val="10"/>
            <color indexed="81"/>
            <rFont val="Arial"/>
            <family val="2"/>
          </rPr>
          <t>Ggf. abweichenden Monat der Zahlung  berücksichtigen.</t>
        </r>
      </text>
    </comment>
    <comment ref="B24" authorId="3" shapeId="0" xr:uid="{00000000-0006-0000-1000-00000B000000}">
      <text>
        <r>
          <rPr>
            <sz val="10"/>
            <color indexed="81"/>
            <rFont val="Arial"/>
            <family val="2"/>
          </rPr>
          <t>"Ja" bedeutet: Vorsteuer wird in Zeile 48 erfasst, und bei der Ermittlung der USt - Zahllast  in Zeile 50 berücksichtigt.</t>
        </r>
      </text>
    </comment>
    <comment ref="B29" authorId="4" shapeId="0" xr:uid="{00000000-0006-0000-1000-00000C000000}">
      <text>
        <r>
          <rPr>
            <sz val="10"/>
            <color indexed="81"/>
            <rFont val="Arial"/>
            <family val="2"/>
          </rPr>
          <t>Die Versicherungssteuer kann nicht als Vortsteuer abgezogen werden.</t>
        </r>
      </text>
    </comment>
    <comment ref="C49" authorId="5" shapeId="0" xr:uid="{00000000-0006-0000-1000-00000D000000}">
      <text>
        <r>
          <rPr>
            <sz val="10"/>
            <color indexed="81"/>
            <rFont val="Arial"/>
            <family val="2"/>
          </rPr>
          <t>Überprüfe und ergänze ggf. die vorgeschlagenen Übernahmen aus dem Blatt:  Kapitalbedarf 
(Felder C20 + C22 + C23)</t>
        </r>
      </text>
    </comment>
    <comment ref="A50" authorId="1" shapeId="0" xr:uid="{00000000-0006-0000-1000-00000E000000}">
      <text>
        <r>
          <rPr>
            <sz val="10"/>
            <color indexed="81"/>
            <rFont val="Arial"/>
            <family val="2"/>
          </rPr>
          <t xml:space="preserve">Übernommen wird der "notwendige Unternehmerlohn" aus dem Blatt: Unternehmerlohn, Zeile 40.
Dies gilt nicht für: die Rechtsformen: GmbH, UG (haftungsbeschränkt), Ltd. </t>
        </r>
      </text>
    </comment>
    <comment ref="D54" authorId="6" shapeId="0" xr:uid="{00000000-0006-0000-1000-00000F000000}">
      <text>
        <r>
          <rPr>
            <sz val="12"/>
            <color indexed="81"/>
            <rFont val="Arial"/>
            <family val="2"/>
          </rPr>
          <t>Hier kann USt -Zahllast aus Vormonat eingetragen werden.</t>
        </r>
      </text>
    </comment>
    <comment ref="C56" authorId="5" shapeId="0" xr:uid="{00000000-0006-0000-1000-000010000000}">
      <text>
        <r>
          <rPr>
            <sz val="12"/>
            <color indexed="81"/>
            <rFont val="Arial"/>
            <family val="2"/>
          </rPr>
          <t>bestehender Kontokorrent;  wird vom Blatt Finanzierung,  Feld C29, übernommen.</t>
        </r>
      </text>
    </comment>
    <comment ref="C59" authorId="3" shapeId="0" xr:uid="{00000000-0006-0000-1000-000011000000}">
      <text>
        <r>
          <rPr>
            <sz val="12"/>
            <color indexed="81"/>
            <rFont val="Arial"/>
            <family val="2"/>
          </rPr>
          <t>Kreditrahmen kann hier unabhängig von dem im Blatt Finanzierung  ermittelten Kurzfristigen Fremdkapital, Feld C30, eingegeben werden.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Kortenjan Norbert</author>
    <author>HWK</author>
    <author>Hemens</author>
    <author>Ekkehard Arnold</author>
    <author xml:space="preserve"> </author>
  </authors>
  <commentList>
    <comment ref="A2" authorId="0" shapeId="0" xr:uid="{00000000-0006-0000-1200-000001000000}">
      <text>
        <r>
          <rPr>
            <sz val="10"/>
            <color indexed="81"/>
            <rFont val="Segoe UI"/>
            <family val="2"/>
          </rPr>
          <t>Wenn Sie bei Nutzung von OpenOffice die vorgeschlagenen Werte verändern möchten, gehen Sie bitte wie folgt vor:
Markieren Sie die Zellen, die Sie verändern wollen. Anschließend wählen Sie im Menü "Daten" den Unterpunkt "Gültigkeit…" aus. Danach deaktivieren Sie im Reiter "Fehlermeldung" die Funktion "Fehlermeldung bei Eingabe ungültiger Werte anzeigen" indem Sie das Häkchen entfernen.</t>
        </r>
      </text>
    </comment>
    <comment ref="G6" authorId="1" shapeId="0" xr:uid="{00000000-0006-0000-1200-000002000000}">
      <text>
        <r>
          <rPr>
            <sz val="10"/>
            <color indexed="81"/>
            <rFont val="Arial"/>
            <family val="2"/>
          </rPr>
          <t>Zahlungsziele und Steuersätze aus Liquiditätsplan 1. Jahr übernommen.</t>
        </r>
      </text>
    </comment>
    <comment ref="D13" authorId="2" shapeId="0" xr:uid="{00000000-0006-0000-1200-000003000000}">
      <text>
        <r>
          <rPr>
            <sz val="10"/>
            <color indexed="81"/>
            <rFont val="Arial"/>
            <family val="2"/>
          </rPr>
          <t>Der Anfangsmonat wird auf der Startseite festgelegt.</t>
        </r>
      </text>
    </comment>
    <comment ref="A14" authorId="2" shapeId="0" xr:uid="{00000000-0006-0000-1200-000004000000}">
      <text>
        <r>
          <rPr>
            <sz val="10"/>
            <color indexed="81"/>
            <rFont val="Arial"/>
            <family val="2"/>
          </rPr>
          <t xml:space="preserve">Bei der Verteilung des Jahresumsatzes auf die einzelnen Monate sollten saisonale und sonstige  Schwankungen berücksichtigt werden. </t>
        </r>
      </text>
    </comment>
    <comment ref="A15" authorId="2" shapeId="0" xr:uid="{00000000-0006-0000-1200-000005000000}">
      <text>
        <r>
          <rPr>
            <sz val="10"/>
            <color indexed="81"/>
            <rFont val="Arial"/>
            <family val="2"/>
          </rPr>
          <t>Besteuerung nach vereinbarten Entgelten (Soll - Besteuerung).</t>
        </r>
      </text>
    </comment>
    <comment ref="A19" authorId="2" shapeId="0" xr:uid="{00000000-0006-0000-1200-000006000000}">
      <text>
        <r>
          <rPr>
            <sz val="10"/>
            <color indexed="81"/>
            <rFont val="Arial"/>
            <family val="2"/>
          </rPr>
          <t>Einzahlungen aus den letzten beiden Monaten des 1.  Geschäftsjahres.</t>
        </r>
      </text>
    </comment>
    <comment ref="A24" authorId="2" shapeId="0" xr:uid="{00000000-0006-0000-1200-000007000000}">
      <text>
        <r>
          <rPr>
            <sz val="10"/>
            <color indexed="81"/>
            <rFont val="Arial"/>
            <family val="2"/>
          </rPr>
          <t>Datum der Zahlung ist zu berücksichtigen.</t>
        </r>
      </text>
    </comment>
    <comment ref="B29" authorId="3" shapeId="0" xr:uid="{00000000-0006-0000-1200-000008000000}">
      <text>
        <r>
          <rPr>
            <sz val="10"/>
            <color indexed="81"/>
            <rFont val="Arial"/>
            <family val="2"/>
          </rPr>
          <t>Die Versicherungssteuer kann nicht als Vorsteuer abgezogen werden.</t>
        </r>
      </text>
    </comment>
    <comment ref="C51" authorId="4" shapeId="0" xr:uid="{00000000-0006-0000-1200-000009000000}">
      <text>
        <r>
          <rPr>
            <sz val="10"/>
            <color indexed="81"/>
            <rFont val="Arial"/>
            <family val="2"/>
          </rPr>
          <t>Auf 100 EUR gerundet.</t>
        </r>
      </text>
    </comment>
    <comment ref="D54" authorId="1" shapeId="0" xr:uid="{00000000-0006-0000-1200-00000A000000}">
      <text>
        <r>
          <rPr>
            <sz val="10"/>
            <color indexed="81"/>
            <rFont val="Arial"/>
            <family val="2"/>
          </rPr>
          <t>Ermittelt vom lezten Monat des 1.  Geschäftsjahres.</t>
        </r>
      </text>
    </comment>
    <comment ref="C56" authorId="1" shapeId="0" xr:uid="{00000000-0006-0000-1200-00000B000000}">
      <text>
        <r>
          <rPr>
            <sz val="10"/>
            <color indexed="81"/>
            <rFont val="Arial"/>
            <family val="2"/>
          </rPr>
          <t>Wert aus Liquiditäsplan 1. Jahr übernommen.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Kortenjan Norbert</author>
    <author>HWK</author>
    <author>Hemens</author>
    <author>Ekkehard Arnold</author>
    <author xml:space="preserve"> </author>
  </authors>
  <commentList>
    <comment ref="A2" authorId="0" shapeId="0" xr:uid="{00000000-0006-0000-1300-000001000000}">
      <text>
        <r>
          <rPr>
            <sz val="10"/>
            <color indexed="81"/>
            <rFont val="Segoe UI"/>
            <family val="2"/>
          </rPr>
          <t>Wenn Sie bei Nutzung von OpenOffice die vorgeschlagenen Werte verändern möchten, gehen Sie bitte wie folgt vor:
Markieren Sie die Zellen, die Sie verändern wollen. Anschließend wählen Sie im Menü "Daten" den Unterpunkt "Gültigkeit…" aus. Danach deaktivieren Sie im Reiter "Fehlermeldung" die Funktion "Fehlermeldung bei Eingabe ungültiger Werte anzeigen" indem Sie das Häkchen entfernen.</t>
        </r>
      </text>
    </comment>
    <comment ref="G6" authorId="1" shapeId="0" xr:uid="{00000000-0006-0000-1300-000002000000}">
      <text>
        <r>
          <rPr>
            <sz val="10"/>
            <color indexed="81"/>
            <rFont val="Arial"/>
            <family val="2"/>
          </rPr>
          <t>Zahlungsziele und Steuersätze aus Liquiditätsplan 1. Jahr übernommen.</t>
        </r>
      </text>
    </comment>
    <comment ref="D13" authorId="2" shapeId="0" xr:uid="{00000000-0006-0000-1300-000003000000}">
      <text>
        <r>
          <rPr>
            <sz val="10"/>
            <color indexed="81"/>
            <rFont val="Arial"/>
            <family val="2"/>
          </rPr>
          <t>Der Anfangsmonat wird auf der Startseite festgelegt.</t>
        </r>
      </text>
    </comment>
    <comment ref="A14" authorId="2" shapeId="0" xr:uid="{00000000-0006-0000-1300-000004000000}">
      <text>
        <r>
          <rPr>
            <sz val="10"/>
            <color indexed="81"/>
            <rFont val="Arial"/>
            <family val="2"/>
          </rPr>
          <t xml:space="preserve">Bei der Verteilung des Jahresumsatzes auf die einzelnen Monate sollten saisonale und sonstige  Schwankungen berücksichtigt werden. </t>
        </r>
      </text>
    </comment>
    <comment ref="A15" authorId="2" shapeId="0" xr:uid="{00000000-0006-0000-1300-000005000000}">
      <text>
        <r>
          <rPr>
            <sz val="10"/>
            <color indexed="81"/>
            <rFont val="Arial"/>
            <family val="2"/>
          </rPr>
          <t>Besteuerung nach vereinbarten Entgelten (Soll - Besteuerung).</t>
        </r>
      </text>
    </comment>
    <comment ref="A19" authorId="2" shapeId="0" xr:uid="{00000000-0006-0000-1300-000006000000}">
      <text>
        <r>
          <rPr>
            <sz val="10"/>
            <color indexed="81"/>
            <rFont val="Arial"/>
            <family val="2"/>
          </rPr>
          <t>Einzahlungen aus den letzten beiden Monaten des 2.  Geschäftsjahres.</t>
        </r>
      </text>
    </comment>
    <comment ref="A24" authorId="2" shapeId="0" xr:uid="{00000000-0006-0000-1300-000007000000}">
      <text>
        <r>
          <rPr>
            <sz val="10"/>
            <color indexed="81"/>
            <rFont val="Arial"/>
            <family val="2"/>
          </rPr>
          <t>Datum der Zahlung ist zu berücksichtigen.</t>
        </r>
      </text>
    </comment>
    <comment ref="B29" authorId="3" shapeId="0" xr:uid="{00000000-0006-0000-1300-000008000000}">
      <text>
        <r>
          <rPr>
            <sz val="10"/>
            <color indexed="81"/>
            <rFont val="Arial"/>
            <family val="2"/>
          </rPr>
          <t>Die Versicherungssteuer kann nicht als Vortsteuer abgezogen werden.</t>
        </r>
      </text>
    </comment>
    <comment ref="C51" authorId="4" shapeId="0" xr:uid="{00000000-0006-0000-1300-000009000000}">
      <text>
        <r>
          <rPr>
            <sz val="11"/>
            <color indexed="81"/>
            <rFont val="Arial"/>
            <family val="2"/>
          </rPr>
          <t xml:space="preserve"> </t>
        </r>
        <r>
          <rPr>
            <sz val="10"/>
            <color indexed="81"/>
            <rFont val="Arial"/>
            <family val="2"/>
          </rPr>
          <t>Auf 100 EUR gerundet.</t>
        </r>
      </text>
    </comment>
    <comment ref="C56" authorId="1" shapeId="0" xr:uid="{00000000-0006-0000-1300-00000A000000}">
      <text>
        <r>
          <rPr>
            <sz val="10"/>
            <color indexed="81"/>
            <rFont val="Arial"/>
            <family val="2"/>
          </rPr>
          <t>Wert aus Liquiditäsplan 2. Jahr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Arnold.Ekkehard</author>
    <author>Vogel.Tobias</author>
    <author>Hemens</author>
    <author>Kaschny</author>
    <author>HWK</author>
    <author>Claudia Busch</author>
  </authors>
  <commentList>
    <comment ref="A11" authorId="0" shapeId="0" xr:uid="{00000000-0006-0000-0400-000001000000}">
      <text>
        <r>
          <rPr>
            <sz val="10"/>
            <color indexed="81"/>
            <rFont val="Arial"/>
            <family val="2"/>
          </rPr>
          <t>Kaufpreis für die Übernahme (von Geschäftsanteilen) eines Unternehmens (sog. share deal).</t>
        </r>
      </text>
    </comment>
    <comment ref="B11" authorId="1" shapeId="0" xr:uid="{00000000-0006-0000-0400-000002000000}">
      <text>
        <r>
          <rPr>
            <sz val="10"/>
            <color indexed="81"/>
            <rFont val="Arial"/>
            <family val="2"/>
          </rPr>
          <t>Sollten Geschäftsanteile erworben werden, sind diese prozentual zu erfassen.</t>
        </r>
      </text>
    </comment>
    <comment ref="H11" authorId="0" shapeId="0" xr:uid="{00000000-0006-0000-0400-000003000000}">
      <text>
        <r>
          <rPr>
            <sz val="10"/>
            <color indexed="81"/>
            <rFont val="Arial"/>
            <family val="2"/>
          </rPr>
          <t>Schätzwert entsprechend des Anlageverzeichnis des  durch Anteilskauf (share deal) zu übernehmenden  Unternehmens.</t>
        </r>
      </text>
    </comment>
    <comment ref="I11" authorId="0" shapeId="0" xr:uid="{00000000-0006-0000-0400-000004000000}">
      <text>
        <r>
          <rPr>
            <sz val="10"/>
            <color indexed="81"/>
            <rFont val="Arial"/>
            <family val="2"/>
          </rPr>
          <t>Die Höhe der bilanzierten Abschreibungen des  Unternehmens, das im Wege des Anteilskaufs (share deal) übernommen werden soll.</t>
        </r>
      </text>
    </comment>
    <comment ref="A12" authorId="2" shapeId="0" xr:uid="{00000000-0006-0000-0400-000005000000}">
      <text>
        <r>
          <rPr>
            <sz val="10"/>
            <color indexed="81"/>
            <rFont val="Arial"/>
            <family val="2"/>
          </rPr>
          <t>Kaufpreisanteil für ein Unternehmen, der über den Substanzwert hinausgeht.</t>
        </r>
      </text>
    </comment>
    <comment ref="A13" authorId="0" shapeId="0" xr:uid="{00000000-0006-0000-0400-000006000000}">
      <text>
        <r>
          <rPr>
            <sz val="10"/>
            <color indexed="81"/>
            <rFont val="Arial"/>
            <family val="2"/>
          </rPr>
          <t>Ein Grundstückserwerb kann umsatzsteuerbefreit sein. 
Rücksprache mit Steuerberater erforderlich.</t>
        </r>
        <r>
          <rPr>
            <sz val="10"/>
            <color indexed="81"/>
            <rFont val="Tahoma"/>
            <family val="2"/>
          </rPr>
          <t xml:space="preserve">
</t>
        </r>
      </text>
    </comment>
    <comment ref="A20" authorId="2" shapeId="0" xr:uid="{00000000-0006-0000-0400-000007000000}">
      <text>
        <r>
          <rPr>
            <sz val="10"/>
            <color indexed="81"/>
            <rFont val="Arial"/>
            <family val="2"/>
          </rPr>
          <t>z.B. Genossenschaftsanteile, Anteile an Einkaufsgemeinschaften.</t>
        </r>
      </text>
    </comment>
    <comment ref="A22" authorId="2" shapeId="0" xr:uid="{00000000-0006-0000-0400-000008000000}">
      <text>
        <r>
          <rPr>
            <sz val="10"/>
            <color indexed="81"/>
            <rFont val="Arial"/>
            <family val="2"/>
          </rPr>
          <t>Insbesondere:
- erstes Warenlager
- Übernahmebestand
- Jahresendbestand</t>
        </r>
      </text>
    </comment>
    <comment ref="A26" authorId="3" shapeId="0" xr:uid="{00000000-0006-0000-0400-000009000000}">
      <text>
        <r>
          <rPr>
            <sz val="10"/>
            <color indexed="81"/>
            <rFont val="Arial"/>
            <family val="2"/>
          </rPr>
          <t xml:space="preserve">z.B. Eröffnungswerbung, Marktuntersuchungen. 
Hinweis: die laufenden Werbeaufwendungen im Blatt: 'übrige Kosten' erfassen. </t>
        </r>
      </text>
    </comment>
    <comment ref="A27" authorId="2" shapeId="0" xr:uid="{00000000-0006-0000-0400-00000A000000}">
      <text>
        <r>
          <rPr>
            <sz val="10"/>
            <color indexed="81"/>
            <rFont val="Arial"/>
            <family val="2"/>
          </rPr>
          <t>notwendige Vorfinanzierung von Aufträgen bis zum  Zahlungseingang</t>
        </r>
      </text>
    </comment>
    <comment ref="A28" authorId="3" shapeId="0" xr:uid="{00000000-0006-0000-0400-00000B000000}">
      <text>
        <r>
          <rPr>
            <sz val="10"/>
            <color indexed="81"/>
            <rFont val="Arial"/>
            <family val="2"/>
          </rPr>
          <t>Insbesondere
- Anmeldegebühren (z.B. Gewerbeanmeldung, Rolleneintragung) 
- Finanzierung der Anlaufphase des Unternehmens, bis  ca. 2 - 3 
  Monatsumsätze</t>
        </r>
      </text>
    </comment>
    <comment ref="A29" authorId="1" shapeId="0" xr:uid="{00000000-0006-0000-0400-00000C000000}">
      <text>
        <r>
          <rPr>
            <sz val="9"/>
            <color indexed="81"/>
            <rFont val="Tahoma"/>
            <family val="2"/>
          </rPr>
          <t xml:space="preserve">Ob die Vorfinanzierung der Umsatzsteuer aufgrund des Vorsteuerabzuges im Folgemonat in der Kapitalbedarfsplanung zu berücksichtigen ist, ist im Vorfeld mit der Hausbank zu besprechen.
</t>
        </r>
      </text>
    </comment>
    <comment ref="A30" authorId="4" shapeId="0" xr:uid="{00000000-0006-0000-0400-00000D000000}">
      <text>
        <r>
          <rPr>
            <sz val="10"/>
            <color indexed="81"/>
            <rFont val="Arial"/>
            <family val="2"/>
          </rPr>
          <t>Erforderlich bei nicht 100% Auszahlung eines Kredites (wird im Blatt Finanzierung ermittelt).</t>
        </r>
      </text>
    </comment>
    <comment ref="A31" authorId="5" shapeId="0" xr:uid="{00000000-0006-0000-0400-00000E000000}">
      <text>
        <r>
          <rPr>
            <sz val="10"/>
            <color indexed="81"/>
            <rFont val="Arial"/>
            <family val="2"/>
          </rPr>
          <t>Hinweis für die Finanzierung: Liquiditätsreserven werden i.d.R. durch Kontokorrentrahmen abgedeckt.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Hemens/Stehr</author>
    <author>Hemens</author>
    <author xml:space="preserve"> </author>
    <author>Vogel.Tobias</author>
  </authors>
  <commentList>
    <comment ref="B11" authorId="0" shapeId="0" xr:uid="{00000000-0006-0000-0500-000001000000}">
      <text>
        <r>
          <rPr>
            <sz val="10"/>
            <color indexed="81"/>
            <rFont val="Arial"/>
            <family val="2"/>
          </rPr>
          <t>Einschließlich möglichem Kontokorrentguthaben.</t>
        </r>
      </text>
    </comment>
    <comment ref="B12" authorId="0" shapeId="0" xr:uid="{00000000-0006-0000-0500-000002000000}">
      <text>
        <r>
          <rPr>
            <sz val="10"/>
            <color indexed="81"/>
            <rFont val="Arial"/>
            <family val="2"/>
          </rPr>
          <t>Nachzuweisen ist hierbei, dass es sich um eine Schenkung und nicht z.B. um ein Privatdarlehen handelt.</t>
        </r>
      </text>
    </comment>
    <comment ref="B13" authorId="1" shapeId="0" xr:uid="{00000000-0006-0000-0500-000003000000}">
      <text>
        <r>
          <rPr>
            <sz val="10"/>
            <color indexed="81"/>
            <rFont val="Arial"/>
            <family val="2"/>
          </rPr>
          <t>Die Höhe der vohandenen Mittel /Sacheinlagen wird aus dem Blatt Kapitalbedarf übernommen.</t>
        </r>
      </text>
    </comment>
    <comment ref="E16" authorId="2" shapeId="0" xr:uid="{00000000-0006-0000-0500-000004000000}">
      <text>
        <r>
          <rPr>
            <sz val="10"/>
            <color indexed="81"/>
            <rFont val="Arial"/>
            <family val="2"/>
          </rPr>
          <t>Bitte den jeweiligen Nominalzinssatz  eintragen! 
Aktuelle Darlehenskonditionen gibt es unter 
- www.kfw.de
- www.nrw-bank.de.
Falls eine Ausfallbürgschaft beantragt wird, ist die jährliche Bürgschaftsprovision zum Zinssatz zu addieren. (vgl. www.bb-nrw.de)</t>
        </r>
      </text>
    </comment>
    <comment ref="F16" authorId="0" shapeId="0" xr:uid="{00000000-0006-0000-0500-000005000000}">
      <text>
        <r>
          <rPr>
            <sz val="10"/>
            <color indexed="81"/>
            <rFont val="Arial"/>
            <family val="2"/>
          </rPr>
          <t>Laufzeit wird bis maximal 20 Jahre berücksichtigt.</t>
        </r>
      </text>
    </comment>
    <comment ref="H16" authorId="3" shapeId="0" xr:uid="{00000000-0006-0000-0500-000006000000}">
      <text>
        <r>
          <rPr>
            <sz val="10"/>
            <color indexed="81"/>
            <rFont val="Arial"/>
            <family val="2"/>
          </rPr>
          <t>Berücksichtigt werden maximal 36 tilgungsfreie Monate  ( 3 Jahre).</t>
        </r>
      </text>
    </comment>
    <comment ref="J16" authorId="1" shapeId="0" xr:uid="{00000000-0006-0000-0500-000007000000}">
      <text>
        <r>
          <rPr>
            <sz val="10"/>
            <color indexed="81"/>
            <rFont val="Arial"/>
            <family val="2"/>
          </rPr>
          <t>Zusätzlicher Kapital- und Finanzierungsbedarf bei nicht 100%iger Auszahlung von Krediten.
(Betrag auf 100 EUR gerundet.)</t>
        </r>
      </text>
    </comment>
    <comment ref="B18" authorId="0" shapeId="0" xr:uid="{00000000-0006-0000-0500-000008000000}">
      <text>
        <r>
          <rPr>
            <sz val="10"/>
            <color indexed="81"/>
            <rFont val="Arial"/>
            <family val="2"/>
          </rPr>
          <t>Bitte beim KfW - Startgeld beachten: 
Gesamtfremdfinanzierung nicht höher als 125.000 EUR.
Meistergründugsprämie wird  als Fremdkapital angerechnet.</t>
        </r>
      </text>
    </comment>
    <comment ref="A21" authorId="0" shapeId="0" xr:uid="{00000000-0006-0000-0500-000009000000}">
      <text>
        <r>
          <rPr>
            <sz val="10"/>
            <color indexed="81"/>
            <rFont val="Arial"/>
            <family val="2"/>
          </rPr>
          <t>Ziel ist die Stärkung der Eigenkapital-Basis.
Beteiligungshöhe maximal 50.000 EUR.
Mehr Infos:
Bürgschaftsbank NRW
www.bb-nrw.de</t>
        </r>
      </text>
    </comment>
    <comment ref="E21" authorId="4" shapeId="0" xr:uid="{00000000-0006-0000-0500-00000A000000}">
      <text>
        <r>
          <rPr>
            <sz val="10"/>
            <color indexed="81"/>
            <rFont val="Arial"/>
            <family val="2"/>
          </rPr>
          <t xml:space="preserve">Vergütung und Gewinnbeteiligung  im Blatt Zins und Tilgung  (Z5:Z6) erfasst. </t>
        </r>
      </text>
    </comment>
    <comment ref="F21" authorId="4" shapeId="0" xr:uid="{00000000-0006-0000-0500-00000B000000}">
      <text>
        <r>
          <rPr>
            <sz val="10"/>
            <color indexed="81"/>
            <rFont val="Arial"/>
            <family val="2"/>
          </rPr>
          <t xml:space="preserve">Laufzeit  im Blatt Zins und Tilgung  (Z7) erfasst. </t>
        </r>
      </text>
    </comment>
    <comment ref="G21" authorId="4" shapeId="0" xr:uid="{00000000-0006-0000-0500-00000C000000}">
      <text>
        <r>
          <rPr>
            <sz val="10"/>
            <color indexed="81"/>
            <rFont val="Arial"/>
            <family val="2"/>
          </rPr>
          <t xml:space="preserve">im Blatt Zins und Tilgung  (Z5:Z6) berücksichtigt. </t>
        </r>
      </text>
    </comment>
    <comment ref="H21" authorId="4" shapeId="0" xr:uid="{00000000-0006-0000-0500-00000D000000}">
      <text>
        <r>
          <rPr>
            <sz val="10"/>
            <color indexed="81"/>
            <rFont val="Arial"/>
            <family val="2"/>
          </rPr>
          <t xml:space="preserve">Tilgungsfreie Zeit  im Blatt Zins und Tilgung  (Z8) erfasst. </t>
        </r>
      </text>
    </comment>
    <comment ref="A22" authorId="1" shapeId="0" xr:uid="{00000000-0006-0000-0500-00000E000000}">
      <text>
        <r>
          <rPr>
            <sz val="10"/>
            <color indexed="81"/>
            <rFont val="Arial"/>
            <family val="2"/>
          </rPr>
          <t>Dieses  Nachrang -  Darlehen dient der Stärkung der Eigenkapitalbasis.  
Das notwendige Eigenkapital von 15% wird auf maximal 45% der Investitionssumme aufgestockt.
Für Darlehensbedarf unter 50.000 EUR in der Regel nicht bedeutsam.
Mehr Infos: www.kfw.de</t>
        </r>
      </text>
    </comment>
    <comment ref="E22" authorId="3" shapeId="0" xr:uid="{00000000-0006-0000-0500-00000F000000}">
      <text>
        <r>
          <rPr>
            <sz val="10"/>
            <color indexed="81"/>
            <rFont val="Arial"/>
            <family val="2"/>
          </rPr>
          <t>Bitte den Zinssatz für die ersten 3 Jahre eingeben; weitere Konditionen im Blatt Zins und Tilgung (AF6:8) angeführt.</t>
        </r>
      </text>
    </comment>
    <comment ref="F22" authorId="4" shapeId="0" xr:uid="{00000000-0006-0000-0500-000010000000}">
      <text>
        <r>
          <rPr>
            <sz val="10"/>
            <color indexed="81"/>
            <rFont val="Arial"/>
            <family val="2"/>
          </rPr>
          <t xml:space="preserve">Laufzeit  im Blatt Zins und Tilgung  (AF9) erfasst. </t>
        </r>
      </text>
    </comment>
    <comment ref="G22" authorId="4" shapeId="0" xr:uid="{00000000-0006-0000-0500-000011000000}">
      <text>
        <r>
          <rPr>
            <sz val="10"/>
            <color indexed="81"/>
            <rFont val="Arial"/>
            <family val="2"/>
          </rPr>
          <t xml:space="preserve">im Blatt Zins und Tilgung  (AF6:8) berücksichtigt. </t>
        </r>
      </text>
    </comment>
    <comment ref="H22" authorId="4" shapeId="0" xr:uid="{00000000-0006-0000-0500-000012000000}">
      <text>
        <r>
          <rPr>
            <sz val="10"/>
            <color indexed="81"/>
            <rFont val="Arial"/>
            <family val="2"/>
          </rPr>
          <t xml:space="preserve">Tilgungsfreie Zeit  im Blatt Zins und Tilgung  (AF10) erfasst. </t>
        </r>
      </text>
    </comment>
    <comment ref="B29" authorId="0" shapeId="0" xr:uid="{00000000-0006-0000-0500-000013000000}">
      <text>
        <r>
          <rPr>
            <sz val="10"/>
            <color indexed="81"/>
            <rFont val="Arial"/>
            <family val="2"/>
          </rPr>
          <t>Nur ausfüllen, wenn bereits ein bestehendes Geschäftskonto belastet ist.</t>
        </r>
      </text>
    </comment>
    <comment ref="B30" authorId="0" shapeId="0" xr:uid="{00000000-0006-0000-0500-000014000000}">
      <text>
        <r>
          <rPr>
            <sz val="10"/>
            <color indexed="81"/>
            <rFont val="Arial"/>
            <family val="2"/>
          </rPr>
          <t>Hier ist  der kurzfristige Finanzierungsbedarf  einzutragen, der nicht über Darlehen finanziert wird.</t>
        </r>
      </text>
    </comment>
    <comment ref="B34" authorId="5" shapeId="0" xr:uid="{00000000-0006-0000-0500-000015000000}">
      <text>
        <r>
          <rPr>
            <sz val="10"/>
            <color indexed="81"/>
            <rFont val="Arial"/>
            <family val="2"/>
          </rPr>
          <t>Zuschuss für die erstmalige Selbstständigkeit von HandwerksmeisterInnen i.H.v. 8.400 EUR (bei mindestens 12.000 EUR zuwendungsfähigen Aufwendungen) bis zu 10.500 EUR (bei maximal 15.000 EUR förderfähigen Aufwendungen).
Mehr Infos: www.lgh.de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Arnold.Ekkehard</author>
    <author xml:space="preserve"> </author>
  </authors>
  <commentList>
    <comment ref="Z6" authorId="0" shapeId="0" xr:uid="{00000000-0006-0000-0600-000001000000}">
      <text>
        <r>
          <rPr>
            <sz val="10"/>
            <color indexed="81"/>
            <rFont val="Arial"/>
            <family val="2"/>
          </rPr>
          <t>Nähere Informationen hierzu:
Kapitalbeteiligungsgesellschaft NRW:
www.kbg-nrw.de/</t>
        </r>
      </text>
    </comment>
    <comment ref="AF10" authorId="1" shapeId="0" xr:uid="{00000000-0006-0000-0600-000002000000}">
      <text>
        <r>
          <rPr>
            <sz val="10"/>
            <color indexed="81"/>
            <rFont val="Arial"/>
            <family val="2"/>
          </rPr>
          <t>Dieser - hier geschätzte - Zinssatz wird tätsächlich erst ab dem 11. Jahr festgelegt.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s>
  <commentList>
    <comment ref="M4" authorId="0" shapeId="0" xr:uid="{00000000-0006-0000-0700-000001000000}">
      <text>
        <r>
          <rPr>
            <sz val="10"/>
            <color indexed="81"/>
            <rFont val="Arial"/>
            <family val="2"/>
          </rPr>
          <t>Das Anfangsdatum kann auf der Startseite geändert werden.</t>
        </r>
      </text>
    </comment>
    <comment ref="L6" authorId="1" shapeId="0" xr:uid="{00000000-0006-0000-0700-000002000000}">
      <text>
        <r>
          <rPr>
            <sz val="10"/>
            <color indexed="81"/>
            <rFont val="Arial"/>
            <family val="2"/>
          </rPr>
          <t xml:space="preserve">Lohnnebenkosten der </t>
        </r>
        <r>
          <rPr>
            <b/>
            <sz val="10"/>
            <color indexed="81"/>
            <rFont val="Arial"/>
            <family val="2"/>
          </rPr>
          <t>Arbeitgeber</t>
        </r>
        <r>
          <rPr>
            <sz val="10"/>
            <color indexed="81"/>
            <rFont val="Arial"/>
            <family val="2"/>
          </rPr>
          <t xml:space="preserve">:
  7,3 %      Krankenversicherung, allgemeiner Beitragssatz
  0,8%       durchschnittlicher Zusatzbeitrag in der gesetzlichen  Krankenversicherung
  1,7 %      Pflegeversicherung
  9,3 %      Rentenversicherung
  1,3 %      Arbeitslosenversicherung
  0,06 %    Insolvenzgeldumlage 
die Arbeitgeberversicherung für:
-  hier: 4,1 %   Umlage 1  (U1) Entgeldfortzahlung im Krankheitsfall (hier bei 80 %  Erstattung)                      
-  hier: 0,58%  Umlage 2  (U2) Mutterschaftsaufwendungen
</t>
        </r>
        <r>
          <rPr>
            <b/>
            <sz val="10"/>
            <color indexed="81"/>
            <rFont val="Arial"/>
            <family val="2"/>
          </rPr>
          <t>Sozialkassen</t>
        </r>
        <r>
          <rPr>
            <sz val="10"/>
            <color indexed="81"/>
            <rFont val="Arial"/>
            <family val="2"/>
          </rPr>
          <t xml:space="preserve"> (Lohnausgleichskassen, Urlaubskassen, Zusatzversorgungskassen):
Netto - Beträge (Ksssenbeiträge minus Auszahlungen)  sind zusätzlich zu erfassen.
</t>
        </r>
        <r>
          <rPr>
            <b/>
            <sz val="10"/>
            <color indexed="81"/>
            <rFont val="Arial"/>
            <family val="2"/>
          </rPr>
          <t xml:space="preserve">
</t>
        </r>
        <r>
          <rPr>
            <sz val="10"/>
            <color indexed="81"/>
            <rFont val="Arial"/>
            <family val="2"/>
          </rPr>
          <t>(Stand  1/2024)</t>
        </r>
      </text>
    </comment>
    <comment ref="L7" authorId="1" shapeId="0" xr:uid="{00000000-0006-0000-0700-000003000000}">
      <text>
        <r>
          <rPr>
            <sz val="10"/>
            <color indexed="81"/>
            <rFont val="Arial"/>
            <family val="2"/>
          </rPr>
          <t>Die pauschalen Abgaben für Arbeitgeber bei Minijobs im gewerblichen Bereich betragen:
13%     Krankenversicherung KV
15,4%  Rentenversicherung RV
1,1%    U 1  (Umlage für Aufwendungen bei Krankheit)
0,24%  U 2 (Umlage für Aufwendungen bei 
              Mutterschaft)
0,06%  Insolvenzgeldumlage
2%   einheitliche  Pauschsteuer
(Stand: 1/2024)</t>
        </r>
      </text>
    </comment>
    <comment ref="E10" authorId="2" shapeId="0" xr:uid="{00000000-0006-0000-07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im jeweiligen Tätigkeitsbereich eingeben!
(keine Teilwerte angeben)</t>
        </r>
      </text>
    </comment>
    <comment ref="M10" authorId="3" shapeId="0" xr:uid="{00000000-0006-0000-0700-000005000000}">
      <text>
        <r>
          <rPr>
            <sz val="10"/>
            <color indexed="81"/>
            <rFont val="Arial"/>
            <family val="2"/>
          </rPr>
          <t>Urlaubs- und Weihnachtsgeld! Wenn insgesamt ein 13. Monatsgehalt, dann 100% eingeben!</t>
        </r>
      </text>
    </comment>
    <comment ref="Q10" authorId="2" shapeId="0" xr:uid="{00000000-0006-0000-07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G11" authorId="4" shapeId="0" xr:uid="{00000000-0006-0000-07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D12" authorId="2" shapeId="0" xr:uid="{00000000-0006-0000-0700-000008000000}">
      <text>
        <r>
          <rPr>
            <sz val="10"/>
            <color indexed="81"/>
            <rFont val="Arial"/>
            <family val="2"/>
          </rPr>
          <t>z.B. Geselle, Aushilfe gewerblich,  Saisonkraft, Bürokraft, Azubi gewerblich</t>
        </r>
      </text>
    </comment>
    <comment ref="K12" authorId="0" shapeId="0" xr:uid="{00000000-0006-0000-0700-000009000000}">
      <text>
        <r>
          <rPr>
            <sz val="10"/>
            <color indexed="81"/>
            <rFont val="Arial"/>
            <family val="2"/>
          </rPr>
          <t>Der Monat wird näherungsweise mit 4,33 Wochen kalkuliert</t>
        </r>
      </text>
    </comment>
    <comment ref="D36" authorId="0" shapeId="0" xr:uid="{00000000-0006-0000-0700-00000A000000}">
      <text>
        <r>
          <rPr>
            <sz val="10"/>
            <color indexed="81"/>
            <rFont val="Arial"/>
            <family val="2"/>
          </rPr>
          <t>Gilt auch für die 
Unternehmergesellschaft (haftungsbeschränkt),
oder die Ltd.</t>
        </r>
      </text>
    </comment>
    <comment ref="L36" authorId="0" shapeId="0" xr:uid="{00000000-0006-0000-0700-00000B000000}">
      <text>
        <r>
          <rPr>
            <sz val="10"/>
            <color indexed="81"/>
            <rFont val="Arial"/>
            <family val="2"/>
          </rPr>
          <t>Beim Geschäftsführer, der zugleich Gesellschafter ist, fallen keine AG-Anteile an.</t>
        </r>
      </text>
    </comment>
    <comment ref="D37" authorId="0" shapeId="0" xr:uid="{00000000-0006-0000-0700-00000C000000}">
      <text>
        <r>
          <rPr>
            <sz val="10"/>
            <color indexed="81"/>
            <rFont val="Arial"/>
            <family val="2"/>
          </rPr>
          <t>Gilt auch für die 
Unternehmergesellschaft (haftungsbeschränkt), oder die Ltd.</t>
        </r>
      </text>
    </comment>
    <comment ref="L37" authorId="0" shapeId="0" xr:uid="{00000000-0006-0000-0700-00000D000000}">
      <text>
        <r>
          <rPr>
            <sz val="10"/>
            <color indexed="81"/>
            <rFont val="Arial"/>
            <family val="2"/>
          </rPr>
          <t>Beim Geschäftsführer, der zugleich Gesellschafter ist, fallen keine AG-Anteile an.</t>
        </r>
      </text>
    </comment>
    <comment ref="D38" authorId="0" shapeId="0" xr:uid="{00000000-0006-0000-0700-00000E000000}">
      <text>
        <r>
          <rPr>
            <sz val="10"/>
            <color indexed="81"/>
            <rFont val="Arial"/>
            <family val="2"/>
          </rPr>
          <t>Gilt auch für die 
Unternehmergesellschaft (haftungsbeschränkt), oder die Ltd.</t>
        </r>
      </text>
    </comment>
    <comment ref="L38" authorId="0" shapeId="0" xr:uid="{00000000-0006-0000-0700-00000F000000}">
      <text>
        <r>
          <rPr>
            <sz val="10"/>
            <color indexed="81"/>
            <rFont val="Arial"/>
            <family val="2"/>
          </rPr>
          <t>Beim Geschäftsführer, der zugleich Gesellschafter ist, fallen keine AG-Anteile an.</t>
        </r>
      </text>
    </comment>
    <comment ref="O42" authorId="1" shapeId="0" xr:uid="{00000000-0006-0000-0700-000010000000}">
      <text>
        <r>
          <rPr>
            <sz val="10"/>
            <color indexed="81"/>
            <rFont val="Arial"/>
            <family val="2"/>
          </rPr>
          <t>Wert  ist auf 100 EUR gerundet.</t>
        </r>
      </text>
    </comment>
    <comment ref="N44" authorId="0" shapeId="0" xr:uid="{00000000-0006-0000-0700-000011000000}">
      <text>
        <r>
          <rPr>
            <sz val="10"/>
            <color indexed="81"/>
            <rFont val="Arial"/>
            <family val="2"/>
          </rPr>
          <t>Wert wird aus dem Blatt Rentabilität übernommen.</t>
        </r>
      </text>
    </comment>
    <comment ref="N45" authorId="0" shapeId="0" xr:uid="{00000000-0006-0000-0700-000012000000}">
      <text>
        <r>
          <rPr>
            <sz val="10"/>
            <color indexed="81"/>
            <rFont val="Arial"/>
            <family val="2"/>
          </rPr>
          <t>Wert wird aus dem Blatt Rentabilität übernommen.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800-000001000000}">
      <text>
        <r>
          <rPr>
            <sz val="10"/>
            <color indexed="81"/>
            <rFont val="Arial"/>
            <family val="2"/>
          </rPr>
          <t>Das Anfangsdatum kann auf der Startseite geändert werden.</t>
        </r>
      </text>
    </comment>
    <comment ref="J6" authorId="1" shapeId="0" xr:uid="{00000000-0006-0000-0800-000002000000}">
      <text>
        <r>
          <rPr>
            <sz val="10"/>
            <color indexed="81"/>
            <rFont val="Arial"/>
            <family val="2"/>
          </rPr>
          <t>Lohnnebenkosten der Arbeitgeber:
  7,3 %      Krankenversicherung, allgemeiner Beitragssatz
  0,8%       durchschnittlicher Zusatzbeitrag in der gesetzlichen  Krankenversicherung
  1,7 %      Pflegeversicherung
  9,3 %      Rentenversicherung
  1,3 %      Arbeitslosenversicherung
  0,06 %    Insolvenzgeldumlage 
die Arbeitgeberversicherung für:
-  hier: 4,1 %   Umlage 1  (U1) Entgeldfortzahlung im Krankheitsfall (hier bei 80 %  Erstattung)                      
-  hier: 0,58%  Umlage 2  (U2) Mutterschaftsaufwendungen
Sozialkassen (Lohnausgleichskassen, Urlaubskassen, Zusatzversorgungskassen):
Netto - Beträge (Ksssenbeiträge minus Auszahlungen)  sind zusätzlich zu erfassen.
(Stand  1/2024)</t>
        </r>
      </text>
    </comment>
    <comment ref="J7" authorId="1" shapeId="0" xr:uid="{00000000-0006-0000-0800-000003000000}">
      <text>
        <r>
          <rPr>
            <sz val="10"/>
            <color indexed="81"/>
            <rFont val="Arial"/>
            <family val="2"/>
          </rPr>
          <t>Die pauschalen Abgaben für Arbeitgeber bei Minijobs im gewerblichen Bereich betragen:
13%     Krankenversicherung KV
15,4%  Rentenversicherung RV
1,1%    U 1  (Umlage für Aufwendungen bei Krankheit)
0,24%  U 2 (Umlage für Aufwendungen bei 
              Mutterschaft)
0,06%  Insolvenzgeldumlage
2%   einheitliche  Pauschsteuer
(Stand: 1/2024)</t>
        </r>
      </text>
    </comment>
    <comment ref="C10" authorId="2" shapeId="0" xr:uid="{00000000-0006-0000-0800-000004000000}">
      <text>
        <r>
          <rPr>
            <sz val="10"/>
            <color indexed="81"/>
            <rFont val="Tahoma"/>
            <family val="2"/>
          </rPr>
          <t xml:space="preserve">Bitte die </t>
        </r>
        <r>
          <rPr>
            <b/>
            <sz val="10"/>
            <color indexed="81"/>
            <rFont val="Tahoma"/>
            <family val="2"/>
          </rPr>
          <t xml:space="preserve">Anzahl </t>
        </r>
        <r>
          <rPr>
            <sz val="10"/>
            <color indexed="81"/>
            <rFont val="Tahoma"/>
            <family val="2"/>
          </rPr>
          <t xml:space="preserve">der Mitarbeiter in diesem Tätigkeitsbereich eingeben!
(keine Teilwerte angeben)
</t>
        </r>
      </text>
    </comment>
    <comment ref="K10" authorId="3" shapeId="0" xr:uid="{00000000-0006-0000-0800-000005000000}">
      <text>
        <r>
          <rPr>
            <sz val="10"/>
            <color indexed="81"/>
            <rFont val="Arial"/>
            <family val="2"/>
          </rPr>
          <t xml:space="preserve">Urlaubs- und Weihnachtsgeld! Wenn insgesamt ein 13. Monatsgehalt, dann 100% eingeben!
</t>
        </r>
      </text>
    </comment>
    <comment ref="O10" authorId="2" shapeId="0" xr:uid="{00000000-0006-0000-08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8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B12" authorId="2" shapeId="0" xr:uid="{00000000-0006-0000-0800-000008000000}">
      <text>
        <r>
          <rPr>
            <sz val="10"/>
            <color indexed="81"/>
            <rFont val="Arial"/>
            <family val="2"/>
          </rPr>
          <t>z.B. Geselle, Aushilfe gewerblich,  Saisonkraft, Bürokraft, Azubi gewerblich</t>
        </r>
      </text>
    </comment>
    <comment ref="I12" authorId="0" shapeId="0" xr:uid="{00000000-0006-0000-0800-000009000000}">
      <text>
        <r>
          <rPr>
            <sz val="10"/>
            <color indexed="81"/>
            <rFont val="Arial"/>
            <family val="2"/>
          </rPr>
          <t>Der Monat wird annäherungsweise mit 4,33 Wochen/Monat kalkuliert</t>
        </r>
      </text>
    </comment>
    <comment ref="B36" authorId="0" shapeId="0" xr:uid="{00000000-0006-0000-0800-00000A000000}">
      <text>
        <r>
          <rPr>
            <sz val="10"/>
            <color indexed="81"/>
            <rFont val="Arial"/>
            <family val="2"/>
          </rPr>
          <t>Gilt auch für die 
Unternehmergesellschaft (haftungsbeschränkt),
oder die Ltd.</t>
        </r>
      </text>
    </comment>
    <comment ref="J36" authorId="0" shapeId="0" xr:uid="{00000000-0006-0000-0800-00000B000000}">
      <text>
        <r>
          <rPr>
            <sz val="10"/>
            <color indexed="81"/>
            <rFont val="Arial"/>
            <family val="2"/>
          </rPr>
          <t>Beim Geschäftsführer, der zugleich Gesellschafter ist, fallen keine AG-Anteile an.</t>
        </r>
      </text>
    </comment>
    <comment ref="B37" authorId="0" shapeId="0" xr:uid="{00000000-0006-0000-0800-00000C000000}">
      <text>
        <r>
          <rPr>
            <sz val="10"/>
            <color indexed="81"/>
            <rFont val="Arial"/>
            <family val="2"/>
          </rPr>
          <t xml:space="preserve">Gilt auch für die 
Unternehmergesellschaft (haftungsbeschränkt), oder die Ltd.
</t>
        </r>
      </text>
    </comment>
    <comment ref="J37" authorId="0" shapeId="0" xr:uid="{00000000-0006-0000-0800-00000D000000}">
      <text>
        <r>
          <rPr>
            <sz val="10"/>
            <color indexed="81"/>
            <rFont val="Arial"/>
            <family val="2"/>
          </rPr>
          <t>Beim Geschäftsführer, der zugleich Gesellschafter ist, fallen keine AG-Anteile an.</t>
        </r>
      </text>
    </comment>
    <comment ref="B38" authorId="0" shapeId="0" xr:uid="{00000000-0006-0000-0800-00000E000000}">
      <text>
        <r>
          <rPr>
            <sz val="10"/>
            <color indexed="81"/>
            <rFont val="Arial"/>
            <family val="2"/>
          </rPr>
          <t xml:space="preserve">Gilt auch für die 
Unternehmergesellschaft (haftungsbeschränkt), oder die Ltd.
</t>
        </r>
      </text>
    </comment>
    <comment ref="J38" authorId="0" shapeId="0" xr:uid="{00000000-0006-0000-0800-00000F000000}">
      <text>
        <r>
          <rPr>
            <sz val="10"/>
            <color indexed="81"/>
            <rFont val="Arial"/>
            <family val="2"/>
          </rPr>
          <t>Beim Geschäftsführer, der zugleich Gesellschafter ist, fallen keine AG-Anteile an.</t>
        </r>
      </text>
    </comment>
    <comment ref="M42" authorId="5" shapeId="0" xr:uid="{00000000-0006-0000-0800-000010000000}">
      <text>
        <r>
          <rPr>
            <sz val="10"/>
            <color indexed="81"/>
            <rFont val="Arial"/>
            <family val="2"/>
          </rPr>
          <t>Wert ist auf 100 EUR gerundet.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900-000001000000}">
      <text>
        <r>
          <rPr>
            <sz val="10"/>
            <color indexed="81"/>
            <rFont val="Arial"/>
            <family val="2"/>
          </rPr>
          <t>Das Anfangsdatum kann auf der Startseite geändert werden</t>
        </r>
      </text>
    </comment>
    <comment ref="J6" authorId="1" shapeId="0" xr:uid="{00000000-0006-0000-0900-000002000000}">
      <text>
        <r>
          <rPr>
            <sz val="10"/>
            <color indexed="81"/>
            <rFont val="Arial"/>
            <family val="2"/>
          </rPr>
          <t>Lohnnebenkosten der Arbeitgeber:
  7,3 %      Krankenversicherung, allgemeiner Beitragssatz
  0,8%       durchschnittlicher Zusatzbeitrag in der gesetzlichen  Krankenversicherung
  1,7 %      Pflegeversicherung
  9,3 %      Rentenversicherung
  1,3 %      Arbeitslosenversicherung
  0,06 %    Insolvenzgeldumlage 
die Arbeitgeberversicherung für:
-  hier: 4,1 %   Umlage 1  (U1) Entgeldfortzahlung im Krankheitsfall (hier bei 80 %  Erstattung)                      
-  hier: 0,58%  Umlage 2  (U2) Mutterschaftsaufwendungen
Sozialkassen (Lohnausgleichskassen, Urlaubskassen, Zusatzversorgungskassen):
Netto - Beträge (Ksssenbeiträge minus Auszahlungen)  sind zusätzlich zu erfassen.
(Stand  1/2024)</t>
        </r>
      </text>
    </comment>
    <comment ref="J7" authorId="1" shapeId="0" xr:uid="{00000000-0006-0000-0900-000003000000}">
      <text>
        <r>
          <rPr>
            <sz val="10"/>
            <color indexed="81"/>
            <rFont val="Arial"/>
            <family val="2"/>
          </rPr>
          <t>Die pauschalen Abgaben für Arbeitgeber bei Minijobs im gewerblichen Bereich betragen:
13%     Krankenversicherung KV
15,4%  Rentenversicherung RV
1,1%    U 1  (Umlage für Aufwendungen bei Krankheit)
0,24%  U 2 (Umlage für Aufwendungen bei 
              Mutterschaft)
0,06%  Insolvenzgeldumlage
2%   einheitliche  Pauschsteuer
(Stand: 1/2024)</t>
        </r>
      </text>
    </comment>
    <comment ref="C10" authorId="2" shapeId="0" xr:uid="{00000000-0006-0000-09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in diesem Tätigkeitsbereich eingeben!
(keine Teilwerte angeben)</t>
        </r>
      </text>
    </comment>
    <comment ref="K10" authorId="3" shapeId="0" xr:uid="{00000000-0006-0000-0900-000005000000}">
      <text>
        <r>
          <rPr>
            <sz val="10"/>
            <color indexed="81"/>
            <rFont val="Arial"/>
            <family val="2"/>
          </rPr>
          <t>Urlaubs- und Weihnachtsgeld! Wenn insgesamt ein 13. Monatsgehalt, dann 100% eingeben!</t>
        </r>
      </text>
    </comment>
    <comment ref="O10" authorId="2" shapeId="0" xr:uid="{00000000-0006-0000-09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9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B12" authorId="2" shapeId="0" xr:uid="{00000000-0006-0000-0900-000008000000}">
      <text>
        <r>
          <rPr>
            <sz val="10"/>
            <color indexed="81"/>
            <rFont val="Arial"/>
            <family val="2"/>
          </rPr>
          <t>z.B. Geselle, Aushilfe gewerblich,  Saisonkraft, Bürokraft, Azubi gewerblich</t>
        </r>
      </text>
    </comment>
    <comment ref="I12" authorId="0" shapeId="0" xr:uid="{00000000-0006-0000-0900-000009000000}">
      <text>
        <r>
          <rPr>
            <sz val="10"/>
            <color indexed="81"/>
            <rFont val="Arial"/>
            <family val="2"/>
          </rPr>
          <t>Der Monat wird annäherungsweise mit 4,33 Wochen/Monat kalkuliert</t>
        </r>
      </text>
    </comment>
    <comment ref="B36" authorId="0" shapeId="0" xr:uid="{00000000-0006-0000-0900-00000A000000}">
      <text>
        <r>
          <rPr>
            <sz val="10"/>
            <color indexed="81"/>
            <rFont val="Arial"/>
            <family val="2"/>
          </rPr>
          <t xml:space="preserve">Gilt auch für die 
Unternehmergesellschaft (haftungsbeschränkt), oder die Ltd. 
</t>
        </r>
      </text>
    </comment>
    <comment ref="J36" authorId="0" shapeId="0" xr:uid="{00000000-0006-0000-0900-00000B000000}">
      <text>
        <r>
          <rPr>
            <sz val="10"/>
            <color indexed="81"/>
            <rFont val="Arial"/>
            <family val="2"/>
          </rPr>
          <t>Beim Geschäftsführer, der zugleich Gesellschafter ist, fallen keine AG-Anteile an.</t>
        </r>
      </text>
    </comment>
    <comment ref="B37" authorId="0" shapeId="0" xr:uid="{00000000-0006-0000-0900-00000C000000}">
      <text>
        <r>
          <rPr>
            <sz val="10"/>
            <color indexed="81"/>
            <rFont val="Arial"/>
            <family val="2"/>
          </rPr>
          <t xml:space="preserve">Gilt auch für die 
Unternehmergesellschaft (haftungsbeschränkt), oder die Ltd.
</t>
        </r>
      </text>
    </comment>
    <comment ref="J37" authorId="0" shapeId="0" xr:uid="{00000000-0006-0000-0900-00000D000000}">
      <text>
        <r>
          <rPr>
            <sz val="10"/>
            <color indexed="81"/>
            <rFont val="Arial"/>
            <family val="2"/>
          </rPr>
          <t>Beim Geschäftsführer, der zugleich Gesellschafter ist, fallen keine AG-Anteile an.</t>
        </r>
      </text>
    </comment>
    <comment ref="B38" authorId="0" shapeId="0" xr:uid="{00000000-0006-0000-0900-00000E000000}">
      <text>
        <r>
          <rPr>
            <sz val="10"/>
            <color indexed="81"/>
            <rFont val="Arial"/>
            <family val="2"/>
          </rPr>
          <t xml:space="preserve">Gilt auch für die 
Unternehmergesellschaft (haftungsbeschränkt), oder die Ltd.
</t>
        </r>
      </text>
    </comment>
    <comment ref="J38" authorId="0" shapeId="0" xr:uid="{00000000-0006-0000-0900-00000F000000}">
      <text>
        <r>
          <rPr>
            <sz val="10"/>
            <color indexed="81"/>
            <rFont val="Arial"/>
            <family val="2"/>
          </rPr>
          <t>Beim Geschäftsführer, der zugleich Gesellschafter ist, fallen keine AG-Anteile an.</t>
        </r>
      </text>
    </comment>
    <comment ref="M42" authorId="5" shapeId="0" xr:uid="{00000000-0006-0000-0900-000010000000}">
      <text>
        <r>
          <rPr>
            <sz val="10"/>
            <color indexed="81"/>
            <rFont val="Arial"/>
            <family val="2"/>
          </rPr>
          <t>Wert ist auf 100 EUR gerundet.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UwHemens</author>
    <author>Ekkehard Arnold</author>
  </authors>
  <commentList>
    <comment ref="C8" authorId="0" shapeId="0" xr:uid="{00000000-0006-0000-0A00-000001000000}">
      <text>
        <r>
          <rPr>
            <sz val="10"/>
            <color indexed="81"/>
            <rFont val="Arial"/>
            <family val="2"/>
          </rPr>
          <t>Angaben ohne USt.</t>
        </r>
      </text>
    </comment>
    <comment ref="E8" authorId="0" shapeId="0" xr:uid="{00000000-0006-0000-0A00-000002000000}">
      <text>
        <r>
          <rPr>
            <sz val="10"/>
            <color indexed="81"/>
            <rFont val="Arial"/>
            <family val="2"/>
          </rPr>
          <t>Angaben ohne USt.</t>
        </r>
      </text>
    </comment>
    <comment ref="G8" authorId="0" shapeId="0" xr:uid="{00000000-0006-0000-0A00-000003000000}">
      <text>
        <r>
          <rPr>
            <sz val="10"/>
            <color indexed="81"/>
            <rFont val="Arial"/>
            <family val="2"/>
          </rPr>
          <t>Angaben ohne USt.</t>
        </r>
      </text>
    </comment>
    <comment ref="B12" authorId="1" shapeId="0" xr:uid="{00000000-0006-0000-0A00-000004000000}">
      <text>
        <r>
          <rPr>
            <sz val="10"/>
            <color indexed="81"/>
            <rFont val="Arial"/>
            <family val="2"/>
          </rPr>
          <t>Hier werden z.B. erfasst:
- betriebliche Haftpflichtversicherung
- Kammerbeiträge
- Innungsbeiträge
- GEMA - Gebühren
- ...</t>
        </r>
      </text>
    </comment>
    <comment ref="B14" authorId="2" shapeId="0" xr:uid="{00000000-0006-0000-0A00-000005000000}">
      <text>
        <r>
          <rPr>
            <sz val="10"/>
            <color indexed="81"/>
            <rFont val="Arial"/>
            <family val="2"/>
          </rPr>
          <t xml:space="preserve">Die Eröffnungswerbung erfassen Sie bitte auf dem Arbeitsblatt "Kapitalbedarf" in dem Feld "Markterschließung".
</t>
        </r>
      </text>
    </comment>
    <comment ref="B16" authorId="3" shapeId="0" xr:uid="{00000000-0006-0000-0A00-000006000000}">
      <text>
        <r>
          <rPr>
            <sz val="9"/>
            <color indexed="81"/>
            <rFont val="Arial"/>
            <family val="2"/>
          </rPr>
          <t>Werden im Blatt: Kapitalbedarf ermittelt.</t>
        </r>
      </text>
    </comment>
    <comment ref="B21" authorId="1" shapeId="0" xr:uid="{00000000-0006-0000-0A00-000007000000}">
      <text>
        <r>
          <rPr>
            <sz val="10"/>
            <color indexed="81"/>
            <rFont val="Arial"/>
            <family val="2"/>
          </rPr>
          <t>Hier werden z.B. erfasst:
- Leasing von Maschinen 
- Miete von Anlagen
- Lizenzgebühren für Software
- ...</t>
        </r>
      </text>
    </comment>
    <comment ref="B23" authorId="0" shapeId="0" xr:uid="{00000000-0006-0000-0A00-000008000000}">
      <text>
        <r>
          <rPr>
            <sz val="10"/>
            <color indexed="81"/>
            <rFont val="Arial"/>
            <family val="2"/>
          </rPr>
          <t>Geringwertige Wirtschaftsgüter (GWG) können ab 2018 bis 800 EUR sofort abgeschrieben werden (diese  und ebenso die  Sammelposten-Regelung  werden  bei den  Abschreibungen in Zeile 14 nicht berücksichtigt).</t>
        </r>
      </text>
    </comment>
    <comment ref="B24" authorId="1" shapeId="0" xr:uid="{00000000-0006-0000-0A00-000009000000}">
      <text>
        <r>
          <rPr>
            <sz val="10"/>
            <color indexed="81"/>
            <rFont val="Arial"/>
            <family val="2"/>
          </rPr>
          <t>Hier werden z.B. erfasst:
- Berufsbekleidung
- Schulungsmaterialien 
- betrieblicher Reinigungsmittel</t>
        </r>
      </text>
    </comment>
    <comment ref="B25" authorId="3" shapeId="0" xr:uid="{00000000-0006-0000-0A00-00000A000000}">
      <text>
        <r>
          <rPr>
            <sz val="10"/>
            <color indexed="81"/>
            <rFont val="Arial"/>
            <family val="2"/>
          </rPr>
          <t>Werden im Blatt Zins und Tilgung ermittelt.
Gerundet auf 100 EUR</t>
        </r>
      </text>
    </comment>
    <comment ref="B26" authorId="1" shapeId="0" xr:uid="{00000000-0006-0000-0A00-00000B000000}">
      <text>
        <r>
          <rPr>
            <sz val="10"/>
            <color indexed="81"/>
            <rFont val="Arial"/>
            <family val="2"/>
          </rPr>
          <t>Die kurzfristigen Zinsen können ermittelt werden durch die Schätzung der durchschnittlichen Inanspruchnahme des Kontokorrents  x   Zinssatz
(siehe Blatt Finanzierung, Felder C29 u. C30).</t>
        </r>
      </text>
    </comment>
    <comment ref="B34" authorId="1" shapeId="0" xr:uid="{00000000-0006-0000-0A00-00000C000000}">
      <text>
        <r>
          <rPr>
            <sz val="10"/>
            <color indexed="81"/>
            <rFont val="Arial"/>
            <family val="2"/>
          </rPr>
          <t>Hier den örtlichen Gewerbesteuer - Hebesatz eingeben.</t>
        </r>
      </text>
    </comment>
    <comment ref="B35" authorId="3" shapeId="0" xr:uid="{00000000-0006-0000-0A00-00000D000000}">
      <text>
        <r>
          <rPr>
            <sz val="10"/>
            <color indexed="81"/>
            <rFont val="Arial"/>
            <family val="2"/>
          </rPr>
          <t>Wird nur bei Kapitalgesellschaften erhoben.
Gesellschaftsform auf Startseite erfassen.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Vogel.Tobias</author>
    <author>Ekkehard Arnold</author>
    <author xml:space="preserve"> </author>
  </authors>
  <commentList>
    <comment ref="G10" authorId="0" shapeId="0" xr:uid="{00000000-0006-0000-0B00-000001000000}">
      <text>
        <r>
          <rPr>
            <sz val="10"/>
            <color indexed="81"/>
            <rFont val="Arial"/>
            <family val="2"/>
          </rPr>
          <t>Die Prozente beziehen sich auf die Summe der privaten Ausgaben</t>
        </r>
      </text>
    </comment>
    <comment ref="I10" authorId="0" shapeId="0" xr:uid="{00000000-0006-0000-0B00-000002000000}">
      <text>
        <r>
          <rPr>
            <sz val="10"/>
            <color indexed="81"/>
            <rFont val="Arial"/>
            <family val="2"/>
          </rPr>
          <t>Die Prozente beziehen sich auf die Summe der privaten Ausgaben</t>
        </r>
      </text>
    </comment>
    <comment ref="K10" authorId="0" shapeId="0" xr:uid="{00000000-0006-0000-0B00-000003000000}">
      <text>
        <r>
          <rPr>
            <sz val="10"/>
            <color indexed="81"/>
            <rFont val="Arial"/>
            <family val="2"/>
          </rPr>
          <t>Die Prozente beziehen sich auf die Summe der privaten Ausgaben</t>
        </r>
      </text>
    </comment>
    <comment ref="R10" authorId="0" shapeId="0" xr:uid="{00000000-0006-0000-0B00-000004000000}">
      <text>
        <r>
          <rPr>
            <sz val="10"/>
            <color indexed="81"/>
            <rFont val="Arial"/>
            <family val="2"/>
          </rPr>
          <t>Die Prozente beziehen sich auf die Summe der privaten Ausgaben</t>
        </r>
      </text>
    </comment>
    <comment ref="T10" authorId="0" shapeId="0" xr:uid="{00000000-0006-0000-0B00-000005000000}">
      <text>
        <r>
          <rPr>
            <sz val="10"/>
            <color indexed="81"/>
            <rFont val="Arial"/>
            <family val="2"/>
          </rPr>
          <t>Die Prozente beziehen sich auf die Summe der privaten Ausgaben</t>
        </r>
      </text>
    </comment>
    <comment ref="V10" authorId="0" shapeId="0" xr:uid="{00000000-0006-0000-0B00-000006000000}">
      <text>
        <r>
          <rPr>
            <sz val="10"/>
            <color indexed="81"/>
            <rFont val="Arial"/>
            <family val="2"/>
          </rPr>
          <t>Die Prozente beziehen sich auf die Summe der privaten Ausgaben</t>
        </r>
      </text>
    </comment>
    <comment ref="AC10" authorId="0" shapeId="0" xr:uid="{00000000-0006-0000-0B00-000007000000}">
      <text>
        <r>
          <rPr>
            <sz val="10"/>
            <color indexed="81"/>
            <rFont val="Arial"/>
            <family val="2"/>
          </rPr>
          <t>Die Prozente beziehen sich auf die Summe der privaten Ausgaben</t>
        </r>
      </text>
    </comment>
    <comment ref="AE10" authorId="0" shapeId="0" xr:uid="{00000000-0006-0000-0B00-000008000000}">
      <text>
        <r>
          <rPr>
            <sz val="10"/>
            <color indexed="81"/>
            <rFont val="Arial"/>
            <family val="2"/>
          </rPr>
          <t>Die Prozente beziehen sich auf die Summe der privaten Ausgaben</t>
        </r>
      </text>
    </comment>
    <comment ref="AG10" authorId="0" shapeId="0" xr:uid="{00000000-0006-0000-0B00-000009000000}">
      <text>
        <r>
          <rPr>
            <sz val="10"/>
            <color indexed="81"/>
            <rFont val="Arial"/>
            <family val="2"/>
          </rPr>
          <t>Die Prozente beziehen sich auf die Summe der privaten Ausgaben</t>
        </r>
      </text>
    </comment>
    <comment ref="E25" authorId="1" shapeId="0" xr:uid="{00000000-0006-0000-0B00-00000A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P25" authorId="1" shapeId="0" xr:uid="{00000000-0006-0000-0B00-00000B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AA25" authorId="1" shapeId="0" xr:uid="{00000000-0006-0000-0B00-00000C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E26" authorId="1" shapeId="0" xr:uid="{00000000-0006-0000-0B00-00000D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P26" authorId="1" shapeId="0" xr:uid="{00000000-0006-0000-0B00-00000E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AA26" authorId="1" shapeId="0" xr:uid="{00000000-0006-0000-0B00-00000F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E37" authorId="2" shapeId="0" xr:uid="{00000000-0006-0000-0B00-000010000000}">
      <text>
        <r>
          <rPr>
            <sz val="10"/>
            <color indexed="81"/>
            <rFont val="Arial"/>
            <family val="2"/>
          </rPr>
          <t>Mindestens zu erzielender Unternehmerlohn zur Deckung der privaten Ausgaben.</t>
        </r>
      </text>
    </comment>
    <comment ref="P37" authorId="2" shapeId="0" xr:uid="{00000000-0006-0000-0B00-000011000000}">
      <text>
        <r>
          <rPr>
            <sz val="10"/>
            <color indexed="81"/>
            <rFont val="Arial"/>
            <family val="2"/>
          </rPr>
          <t>Mindestens zu erzielender Unternehmerlohn zur Deckung der privaten Ausgaben.</t>
        </r>
      </text>
    </comment>
    <comment ref="AA37" authorId="2" shapeId="0" xr:uid="{00000000-0006-0000-0B00-000012000000}">
      <text>
        <r>
          <rPr>
            <sz val="10"/>
            <color indexed="81"/>
            <rFont val="Arial"/>
            <family val="2"/>
          </rPr>
          <t>Mindestens zu erzielender Unternehmerlohn zur Deckung der privaten Ausgaben.</t>
        </r>
      </text>
    </comment>
    <comment ref="C42" authorId="0" shapeId="0" xr:uid="{00000000-0006-0000-0B00-000013000000}">
      <text>
        <r>
          <rPr>
            <sz val="10"/>
            <color indexed="81"/>
            <rFont val="Arial"/>
            <family val="2"/>
          </rPr>
          <t>Hier ist der notwendige Unternehmerlohn  aus Zeile 34 übernommen
Sofern ein höherer (kalkulatorischer) Unternehmerlohn geplant ist, bitte überschreiben.</t>
        </r>
      </text>
    </comment>
    <comment ref="N42" authorId="0" shapeId="0" xr:uid="{00000000-0006-0000-0B00-000014000000}">
      <text>
        <r>
          <rPr>
            <sz val="10"/>
            <color indexed="81"/>
            <rFont val="Arial"/>
            <family val="2"/>
          </rPr>
          <t>Hier ist der notwendige Unternehmerlohn  aus Zeile 34 übernommen
Sofern ein höherer (kalkulatorischer) Unternehmerlohn geplant ist, bitte überschreiben.</t>
        </r>
      </text>
    </comment>
    <comment ref="Y42" authorId="0" shapeId="0" xr:uid="{00000000-0006-0000-0B00-000015000000}">
      <text>
        <r>
          <rPr>
            <sz val="10"/>
            <color indexed="81"/>
            <rFont val="Arial"/>
            <family val="2"/>
          </rPr>
          <t>Hier ist der notwendige Unternehmerlohn  aus Zeile 34 übernommen
Sofern ein höherer (kalkulatorischer) Unternehmerlohn geplant ist, bitte überschreiben.</t>
        </r>
      </text>
    </comment>
    <comment ref="C44" authorId="3" shapeId="0" xr:uid="{00000000-0006-0000-0B00-000016000000}">
      <text>
        <r>
          <rPr>
            <sz val="10"/>
            <color indexed="81"/>
            <rFont val="@Arial Unicode MS"/>
            <family val="2"/>
          </rPr>
          <t>Ermittlung über 
Nebenrechnung erforderlich;  s.u.</t>
        </r>
      </text>
    </comment>
    <comment ref="N44" authorId="3" shapeId="0" xr:uid="{00000000-0006-0000-0B00-000017000000}">
      <text>
        <r>
          <rPr>
            <sz val="10"/>
            <color indexed="81"/>
            <rFont val="@Arial Unicode MS"/>
            <family val="2"/>
          </rPr>
          <t>Ermittlung über 
Nebenrechnung erforderlich;  s.u.</t>
        </r>
      </text>
    </comment>
    <comment ref="Y44" authorId="3" shapeId="0" xr:uid="{00000000-0006-0000-0B00-000018000000}">
      <text>
        <r>
          <rPr>
            <sz val="10"/>
            <color indexed="81"/>
            <rFont val="@Arial Unicode MS"/>
            <family val="2"/>
          </rPr>
          <t>Ermittlung über 
Nebenrechnung erforderlich;  s.u.</t>
        </r>
      </text>
    </comment>
    <comment ref="C46" authorId="1" shapeId="0" xr:uid="{00000000-0006-0000-0B00-000019000000}">
      <text>
        <r>
          <rPr>
            <sz val="10"/>
            <color indexed="81"/>
            <rFont val="Arial"/>
            <family val="2"/>
          </rPr>
          <t>Die Höhe dieses Unternehmerlohns wird bei der Rentabilitäts- und Liquiditätsplanung berücksichtigt 
(gilt nicht für Kapitalgesellschaften).</t>
        </r>
      </text>
    </comment>
    <comment ref="N46" authorId="1" shapeId="0" xr:uid="{00000000-0006-0000-0B00-00001A000000}">
      <text>
        <r>
          <rPr>
            <sz val="10"/>
            <color indexed="81"/>
            <rFont val="Arial"/>
            <family val="2"/>
          </rPr>
          <t>Die Höhe dieses Unternehmerlohns wird bei der Rentabilitäts- und Liquiditätsplanung berücksichtigt 
(gilt nicht für Kapitalgesellschaften).</t>
        </r>
      </text>
    </comment>
    <comment ref="Y46" authorId="1" shapeId="0" xr:uid="{00000000-0006-0000-0B00-00001B000000}">
      <text>
        <r>
          <rPr>
            <sz val="10"/>
            <color indexed="81"/>
            <rFont val="Arial"/>
            <family val="2"/>
          </rPr>
          <t>Die Höhe dieses Unternehmerlohns wird bei der Rentabilitäts- und Liquiditätsplanung berücksichtigt 
(gilt nicht für Kapitalgesellschaften).</t>
        </r>
      </text>
    </comment>
    <comment ref="D56" authorId="4" shapeId="0" xr:uid="{00000000-0006-0000-0B00-00001C000000}">
      <text>
        <r>
          <rPr>
            <sz val="9"/>
            <color indexed="81"/>
            <rFont val="Arial"/>
            <family val="2"/>
          </rPr>
          <t>Monatspauschale von 300 EUR muss für Phase II beantragt werden.</t>
        </r>
      </text>
    </comment>
    <comment ref="O56" authorId="4" shapeId="0" xr:uid="{00000000-0006-0000-0B00-00001D000000}">
      <text>
        <r>
          <rPr>
            <sz val="9"/>
            <color indexed="81"/>
            <rFont val="Arial"/>
            <family val="2"/>
          </rPr>
          <t>Monatspauschale von 300 EUR muss für Phase II beantragt werden.</t>
        </r>
      </text>
    </comment>
    <comment ref="Z56" authorId="4" shapeId="0" xr:uid="{00000000-0006-0000-0B00-00001E000000}">
      <text>
        <r>
          <rPr>
            <sz val="9"/>
            <color indexed="81"/>
            <rFont val="Arial"/>
            <family val="2"/>
          </rPr>
          <t>Monatspauschale von 300 EUR muss für Phase II beantragt werden.</t>
        </r>
      </text>
    </comment>
    <comment ref="C59" authorId="3" shapeId="0" xr:uid="{00000000-0006-0000-0B00-00001F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N59" authorId="3" shapeId="0" xr:uid="{00000000-0006-0000-0B00-000020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Y59" authorId="3" shapeId="0" xr:uid="{00000000-0006-0000-0B00-000021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C62" authorId="3" shapeId="0" xr:uid="{00000000-0006-0000-0B00-000022000000}">
      <text>
        <r>
          <rPr>
            <sz val="10"/>
            <color indexed="81"/>
            <rFont val="@Arial Unicode MS"/>
            <family val="2"/>
          </rPr>
          <t>Eine Verlängerungsoption wird in der Regel  für 6 Monate gewährt,</t>
        </r>
        <r>
          <rPr>
            <sz val="8"/>
            <color indexed="81"/>
            <rFont val="Tahoma"/>
            <family val="2"/>
          </rPr>
          <t xml:space="preserve">
</t>
        </r>
      </text>
    </comment>
    <comment ref="N62" authorId="3" shapeId="0" xr:uid="{00000000-0006-0000-0B00-000023000000}">
      <text>
        <r>
          <rPr>
            <sz val="10"/>
            <color indexed="81"/>
            <rFont val="@Arial Unicode MS"/>
            <family val="2"/>
          </rPr>
          <t>Eine Verlängerungsoption wird in der Regel  für 6 Monate gewährt,</t>
        </r>
        <r>
          <rPr>
            <sz val="8"/>
            <color indexed="81"/>
            <rFont val="Tahoma"/>
            <family val="2"/>
          </rPr>
          <t xml:space="preserve">
</t>
        </r>
      </text>
    </comment>
    <comment ref="Y62" authorId="3" shapeId="0" xr:uid="{00000000-0006-0000-0B00-000024000000}">
      <text>
        <r>
          <rPr>
            <sz val="10"/>
            <color indexed="81"/>
            <rFont val="@Arial Unicode MS"/>
            <family val="2"/>
          </rPr>
          <t>Eine Verlängerungsoption wird in der Regel  für 6 Monate gewährt,</t>
        </r>
        <r>
          <rPr>
            <sz val="8"/>
            <color indexed="81"/>
            <rFont val="Tahoma"/>
            <family val="2"/>
          </rPr>
          <t xml:space="preserve">
</t>
        </r>
      </text>
    </comment>
    <comment ref="E63" authorId="3" shapeId="0" xr:uid="{00000000-0006-0000-0B00-000025000000}">
      <text>
        <r>
          <rPr>
            <sz val="10"/>
            <color indexed="81"/>
            <rFont val="@Arial Unicode MS"/>
            <family val="2"/>
          </rPr>
          <t>Eingabe der vom Jobcenter ermittelten monatlichen Gesamtunterstützung von ALG II und Einstiegsgeld.</t>
        </r>
      </text>
    </comment>
    <comment ref="P63" authorId="3" shapeId="0" xr:uid="{00000000-0006-0000-0B00-000026000000}">
      <text>
        <r>
          <rPr>
            <sz val="10"/>
            <color indexed="81"/>
            <rFont val="@Arial Unicode MS"/>
            <family val="2"/>
          </rPr>
          <t>Eingabe der vom Jobcenter ermittelten monatlichen Gesamtunterstützung von ALG II und Einstiegsgeld.</t>
        </r>
      </text>
    </comment>
    <comment ref="AA63" authorId="3" shapeId="0" xr:uid="{00000000-0006-0000-0B00-000027000000}">
      <text>
        <r>
          <rPr>
            <sz val="10"/>
            <color indexed="81"/>
            <rFont val="@Arial Unicode MS"/>
            <family val="2"/>
          </rPr>
          <t>Eingabe der vom Jobcenter ermittelten monatlichen Gesamtunterstützung von ALG II und Einstiegsgeld.</t>
        </r>
      </text>
    </comment>
    <comment ref="C65" authorId="3" shapeId="0" xr:uid="{00000000-0006-0000-0B00-000028000000}">
      <text>
        <r>
          <rPr>
            <sz val="10"/>
            <color indexed="81"/>
            <rFont val="@Arial Unicode MS"/>
            <family val="2"/>
          </rPr>
          <t xml:space="preserve">Weitere Verlängerungsoptionen für jeweils 6 Monate. 
Das Einstiegsgeld kann insgesamt bis zu 2. Jahre gewährt werden.
</t>
        </r>
      </text>
    </comment>
    <comment ref="N65" authorId="3" shapeId="0" xr:uid="{00000000-0006-0000-0B00-000029000000}">
      <text>
        <r>
          <rPr>
            <sz val="10"/>
            <color indexed="81"/>
            <rFont val="@Arial Unicode MS"/>
            <family val="2"/>
          </rPr>
          <t xml:space="preserve">Weitere Verlängerungsoptionen für jeweils 6 Monate. 
Das Einstiegsgeld kann insgesamt bis zu 2. Jahre gewährt werden.
</t>
        </r>
      </text>
    </comment>
    <comment ref="Y65" authorId="3" shapeId="0" xr:uid="{00000000-0006-0000-0B00-00002A000000}">
      <text>
        <r>
          <rPr>
            <sz val="10"/>
            <color indexed="81"/>
            <rFont val="@Arial Unicode MS"/>
            <family val="2"/>
          </rPr>
          <t xml:space="preserve">Weitere Verlängerungsoptionen für jeweils 6 Monate. 
Das Einstiegsgeld kann insgesamt bis zu 2. Jahre gewährt werden.
</t>
        </r>
      </text>
    </comment>
    <comment ref="C66" authorId="3" shapeId="0" xr:uid="{00000000-0006-0000-0B00-00002B000000}">
      <text>
        <r>
          <rPr>
            <sz val="10"/>
            <color indexed="81"/>
            <rFont val="@Arial Unicode MS"/>
            <family val="2"/>
          </rPr>
          <t>Eine mögliche Zuschussdegression und der Zeitpunkt des Beginns werden  vom Jobcenter festgelegt.</t>
        </r>
      </text>
    </comment>
    <comment ref="N66" authorId="3" shapeId="0" xr:uid="{00000000-0006-0000-0B00-00002C000000}">
      <text>
        <r>
          <rPr>
            <sz val="10"/>
            <color indexed="81"/>
            <rFont val="@Arial Unicode MS"/>
            <family val="2"/>
          </rPr>
          <t>Eine mögliche Zuschussdegression und der Zeitpunkt des Beginns werden  vom Jobcenter festgelegt.</t>
        </r>
      </text>
    </comment>
    <comment ref="Y66" authorId="3" shapeId="0" xr:uid="{00000000-0006-0000-0B00-00002D000000}">
      <text>
        <r>
          <rPr>
            <sz val="10"/>
            <color indexed="81"/>
            <rFont val="@Arial Unicode MS"/>
            <family val="2"/>
          </rPr>
          <t>Eine mögliche Zuschussdegression und der Zeitpunkt des Beginns werden  vom Jobcenter festgelegt.</t>
        </r>
      </text>
    </comment>
  </commentList>
</comments>
</file>

<file path=xl/sharedStrings.xml><?xml version="1.0" encoding="utf-8"?>
<sst xmlns="http://schemas.openxmlformats.org/spreadsheetml/2006/main" count="1416" uniqueCount="605">
  <si>
    <t>Bezeichnung</t>
  </si>
  <si>
    <t>%</t>
  </si>
  <si>
    <t>Personalkosten</t>
  </si>
  <si>
    <t>Anlageinvestition</t>
  </si>
  <si>
    <t>Zinssatz %</t>
  </si>
  <si>
    <t>Gesamt</t>
  </si>
  <si>
    <t>Periode</t>
  </si>
  <si>
    <t>Bestand</t>
  </si>
  <si>
    <t>Tilgung</t>
  </si>
  <si>
    <t>Summe</t>
  </si>
  <si>
    <t>Arbeitgeberanteil-Faktor :</t>
  </si>
  <si>
    <t>Tarifliches</t>
  </si>
  <si>
    <t>Sonder-</t>
  </si>
  <si>
    <t>zeitliche</t>
  </si>
  <si>
    <t>Nr.</t>
  </si>
  <si>
    <t>Zahlungen</t>
  </si>
  <si>
    <t>zzgl. Berufsgenossenschaft</t>
  </si>
  <si>
    <t>Personalkosten gesamt</t>
  </si>
  <si>
    <t>Planumsatz 1. Geschäftsjahr</t>
  </si>
  <si>
    <t xml:space="preserve"> 1.Geschäftsjahr</t>
  </si>
  <si>
    <t xml:space="preserve"> 2.Geschäftsjahr</t>
  </si>
  <si>
    <t xml:space="preserve"> 3.Geschäftsjahr</t>
  </si>
  <si>
    <t>1. Geschäftsjahr</t>
  </si>
  <si>
    <t>2. Geschäftsjahr</t>
  </si>
  <si>
    <t>3. Geschäftsjahr</t>
  </si>
  <si>
    <t>Markterschließungskosten</t>
  </si>
  <si>
    <t>Nutzungsdauer</t>
  </si>
  <si>
    <t>Durchschnittl.</t>
  </si>
  <si>
    <t>pro Monat</t>
  </si>
  <si>
    <t>EUR</t>
  </si>
  <si>
    <t>Grundstücke</t>
  </si>
  <si>
    <t>Gebäude</t>
  </si>
  <si>
    <t>Büroausstattung, EDV</t>
  </si>
  <si>
    <t>Laden-,Lagereinrichtung</t>
  </si>
  <si>
    <t>Anlaufkosten</t>
  </si>
  <si>
    <t>pro Std.</t>
  </si>
  <si>
    <t>pro Jahr</t>
  </si>
  <si>
    <t>Versicherung, Beiträge</t>
  </si>
  <si>
    <t>langfristige Zinsen</t>
  </si>
  <si>
    <t>Abschreibungen</t>
  </si>
  <si>
    <t>Energiekosten (Strom, Heizung, Wasser)</t>
  </si>
  <si>
    <t>übrige Kosten gesamt</t>
  </si>
  <si>
    <t xml:space="preserve"> = Rohgewinn 1</t>
  </si>
  <si>
    <t xml:space="preserve"> - Personalkosten</t>
  </si>
  <si>
    <t xml:space="preserve"> = Rohgewinn 2</t>
  </si>
  <si>
    <t>Planungsrechnung:</t>
  </si>
  <si>
    <t>in Jahren</t>
  </si>
  <si>
    <t>Sonstiges 2:</t>
  </si>
  <si>
    <t>Sonstiges 3:</t>
  </si>
  <si>
    <t>Bruttogehalt</t>
  </si>
  <si>
    <t>Bruttolohn</t>
  </si>
  <si>
    <t>Aktueller</t>
  </si>
  <si>
    <t>Lohn- und Gehaltsangabe</t>
  </si>
  <si>
    <t xml:space="preserve"> = Betriebsleistung gesamt</t>
  </si>
  <si>
    <t>der Kunden zahlt noch im Monat der Rechnungsstellung</t>
  </si>
  <si>
    <t>der Kunden zahlt im Folgemonat</t>
  </si>
  <si>
    <t>der Kunden zahlt erst nach zwei Monaten</t>
  </si>
  <si>
    <t>Umsatzsteuersatz</t>
  </si>
  <si>
    <t>Vorsteuersatz</t>
  </si>
  <si>
    <t>EURO</t>
  </si>
  <si>
    <t>Jahr 1</t>
  </si>
  <si>
    <t>Umsatzplan (netto)</t>
  </si>
  <si>
    <t>Umsatzsteuer (USt)</t>
  </si>
  <si>
    <t xml:space="preserve">Einzahlungen </t>
  </si>
  <si>
    <t>2. sonstige Einzahlungen</t>
  </si>
  <si>
    <t>Privatentnahmen</t>
  </si>
  <si>
    <t>USt-Zahllast (-) oder Erstattung (+)</t>
  </si>
  <si>
    <t>Liquiditätssaldo kumuliert</t>
  </si>
  <si>
    <r>
      <t xml:space="preserve">1. aus Umsatz </t>
    </r>
    <r>
      <rPr>
        <sz val="8"/>
        <rFont val="Arial"/>
        <family val="2"/>
      </rPr>
      <t>incl. USt</t>
    </r>
  </si>
  <si>
    <t>Auszahlung</t>
  </si>
  <si>
    <t>Laufzeit</t>
  </si>
  <si>
    <t>in %</t>
  </si>
  <si>
    <t>Firmenwert</t>
  </si>
  <si>
    <t>Umbauten/ Renovierung</t>
  </si>
  <si>
    <t>Maschinen/Geräte/Werkzeuge</t>
  </si>
  <si>
    <t>Finanzanlagen</t>
  </si>
  <si>
    <t>Raumkosten (Miete, Pacht)</t>
  </si>
  <si>
    <t>Zinssatz in %</t>
  </si>
  <si>
    <t>Fahrzeuge</t>
  </si>
  <si>
    <t>Vorsteuer</t>
  </si>
  <si>
    <t>nein</t>
  </si>
  <si>
    <t>ja</t>
  </si>
  <si>
    <t>Material-/Wareneinsatz</t>
  </si>
  <si>
    <t>Fremdleistungen</t>
  </si>
  <si>
    <t>Sonstiges</t>
  </si>
  <si>
    <t>Liquiditätssaldo</t>
  </si>
  <si>
    <t>Betriebsmittel</t>
  </si>
  <si>
    <t>Kapitalbedarf lt. Kapitalbedarfsplan:</t>
  </si>
  <si>
    <t xml:space="preserve"> </t>
  </si>
  <si>
    <t>Vorfinanzierungen v. Aufträgen</t>
  </si>
  <si>
    <t>Reserve für Unvorhergesehenes</t>
  </si>
  <si>
    <t>Gesamtkapitalbedarf</t>
  </si>
  <si>
    <t>Darlehen 1:</t>
  </si>
  <si>
    <t>Darlehen 2:</t>
  </si>
  <si>
    <t>Zinsbindung</t>
  </si>
  <si>
    <t>Annuitätendarlehen:</t>
  </si>
  <si>
    <t>Tilgungsfreie Zeit</t>
  </si>
  <si>
    <t>Jahre</t>
  </si>
  <si>
    <t>siehe einzelne Darlehen</t>
  </si>
  <si>
    <t>Tilgungszeitraum</t>
  </si>
  <si>
    <t>Gesamtwerte</t>
  </si>
  <si>
    <t>in EUR</t>
  </si>
  <si>
    <t xml:space="preserve"> - Materialeinsatz gesamt</t>
  </si>
  <si>
    <t xml:space="preserve"> = Betriebsergebnis</t>
  </si>
  <si>
    <t>Geplanter Umsatz:</t>
  </si>
  <si>
    <t>Auszahlungen (Nettowerte)</t>
  </si>
  <si>
    <t>zzgl. Sonstiges</t>
  </si>
  <si>
    <t>Kirchensteuer</t>
  </si>
  <si>
    <t>Lebensunterhalt</t>
  </si>
  <si>
    <t>Miete/Hausaufwendungen</t>
  </si>
  <si>
    <t>Kommunikation (Telefon, TV)</t>
  </si>
  <si>
    <t>Kfz-Kosten</t>
  </si>
  <si>
    <t>Altersvorsorge (Renten-, Lebensversicherung)</t>
  </si>
  <si>
    <t>Kranken-, Pflegeversicherung</t>
  </si>
  <si>
    <t>Urlaub, Reise</t>
  </si>
  <si>
    <t>geplante Anschaffungen</t>
  </si>
  <si>
    <t>andere Nettolohn/-gehaltseinnahmen</t>
  </si>
  <si>
    <t>Kindergeld</t>
  </si>
  <si>
    <t>Sonstige (dauerhaften) Einkünfte</t>
  </si>
  <si>
    <t>+ Personalkosten</t>
  </si>
  <si>
    <t>+ übrige Kosten</t>
  </si>
  <si>
    <t>= mindestens notwendiger Rohgewinn</t>
  </si>
  <si>
    <t xml:space="preserve">+ Materialeinsatz </t>
  </si>
  <si>
    <t>Personal</t>
  </si>
  <si>
    <t>Achtung: Mit Ausnahme des Materialeinsatzes werden alle Kostenarten als fix angenommen!</t>
  </si>
  <si>
    <t>Kontokorrentrahmen</t>
  </si>
  <si>
    <t>ERP-Kapital für Gründung</t>
  </si>
  <si>
    <t>Stunden</t>
  </si>
  <si>
    <t>pro</t>
  </si>
  <si>
    <t>Woche</t>
  </si>
  <si>
    <t>sonstige Versicherungen</t>
  </si>
  <si>
    <t>Tage</t>
  </si>
  <si>
    <t>Arbeitszeit pro Woche</t>
  </si>
  <si>
    <t xml:space="preserve"> - bez. Feiertage</t>
  </si>
  <si>
    <t xml:space="preserve"> - Urlaubstage</t>
  </si>
  <si>
    <t xml:space="preserve"> - Krankheitstage</t>
  </si>
  <si>
    <t xml:space="preserve"> - sonstige Fehltage</t>
  </si>
  <si>
    <t xml:space="preserve"> = Anwesenheitszeit</t>
  </si>
  <si>
    <t xml:space="preserve"> = Zwischensumme</t>
  </si>
  <si>
    <t xml:space="preserve"> x Anzahl Mitarbeiter bzw. Inhaber</t>
  </si>
  <si>
    <t xml:space="preserve"> = Lohnumsatz</t>
  </si>
  <si>
    <t>Materialeinsatz in %</t>
  </si>
  <si>
    <t>Materialaufschlag in %</t>
  </si>
  <si>
    <t>Aufschlag auf Fremdleistungen in %</t>
  </si>
  <si>
    <t>Lohnumsatz gesamt in EUR</t>
  </si>
  <si>
    <t>Materialumsatz in EUR</t>
  </si>
  <si>
    <t>Fremdleistungen Kosten in EUR</t>
  </si>
  <si>
    <t>Fremdleistungsumsatz in EUR</t>
  </si>
  <si>
    <t>Gesamtumsatz in EUR</t>
  </si>
  <si>
    <t xml:space="preserve"> + Überstunden pro Jahr</t>
  </si>
  <si>
    <t xml:space="preserve"> - Anteil unproduktiver Stunden in %</t>
  </si>
  <si>
    <t>Gesamtumsatz in EUR gerundet</t>
  </si>
  <si>
    <t>Gesellen</t>
  </si>
  <si>
    <t>Auszubildende</t>
  </si>
  <si>
    <t>Std./Jahr</t>
  </si>
  <si>
    <t>Gesamtumsatz</t>
  </si>
  <si>
    <t>Tage pro Jahr</t>
  </si>
  <si>
    <t xml:space="preserve"> - Sonntage und Feiertage</t>
  </si>
  <si>
    <t xml:space="preserve"> - Samstage (1/2)</t>
  </si>
  <si>
    <t xml:space="preserve"> - sonstige Tage, an denen geschlossen ist</t>
  </si>
  <si>
    <t>Durchschnittsumsatz je Kunde</t>
  </si>
  <si>
    <t xml:space="preserve"> x Anzahl erwarteter Kunden pro Tag</t>
  </si>
  <si>
    <t>Kunden/Tag</t>
  </si>
  <si>
    <t xml:space="preserve"> x Öffnungstage pro Jahr</t>
  </si>
  <si>
    <t xml:space="preserve"> = Jahresumsatz</t>
  </si>
  <si>
    <t xml:space="preserve"> / Durchschnittsumsatz je Kunde</t>
  </si>
  <si>
    <t xml:space="preserve"> = notwendige Kunden pro Jahr</t>
  </si>
  <si>
    <t>Anzahl Kunden</t>
  </si>
  <si>
    <t xml:space="preserve"> / Öffnungstage</t>
  </si>
  <si>
    <t xml:space="preserve"> = notwendige Kunden pro Tag</t>
  </si>
  <si>
    <t>Jahresumsatz gerundet</t>
  </si>
  <si>
    <t xml:space="preserve"> x Stundenverrechnungssatz</t>
  </si>
  <si>
    <t>Unternehmensdaten:</t>
  </si>
  <si>
    <t>Rechtsform:</t>
  </si>
  <si>
    <t>Telefonnummer:</t>
  </si>
  <si>
    <t>von</t>
  </si>
  <si>
    <t>Branche:</t>
  </si>
  <si>
    <t>Anzahl</t>
  </si>
  <si>
    <t xml:space="preserve">Anteil </t>
  </si>
  <si>
    <t>produktiv</t>
  </si>
  <si>
    <t>Produktive</t>
  </si>
  <si>
    <t>Kräfte</t>
  </si>
  <si>
    <t>Anzahl Mitarbeiter produktiv</t>
  </si>
  <si>
    <t>produktiv Beschäftigtem</t>
  </si>
  <si>
    <t xml:space="preserve">Eigene Betriebsleistung je </t>
  </si>
  <si>
    <t>Umsatz über Fremdleistungen</t>
  </si>
  <si>
    <t>brutto!!</t>
  </si>
  <si>
    <t>Die Angaben zur Fremdfinanzierung sind als erster Planungsansatz zu verstehen. Über den tatsächlichen Finanzierungsweg soll gemeinsam mit der Hausbank beraten werden.</t>
  </si>
  <si>
    <t>incl. AG-Anteile</t>
  </si>
  <si>
    <t>Nettolohn/-gehalt des Ehe- bzw. Lebenspartners</t>
  </si>
  <si>
    <t>I. Summe Einzahlungen (Bruttowerte)</t>
  </si>
  <si>
    <t>II. Summe Auszahlungen (incl. Vorsteuer)</t>
  </si>
  <si>
    <t>Disagio</t>
  </si>
  <si>
    <t>Zusammen</t>
  </si>
  <si>
    <t>Abschreibung</t>
  </si>
  <si>
    <t>(AfA)</t>
  </si>
  <si>
    <t>-</t>
  </si>
  <si>
    <t>Mitarbeiterproduktivität</t>
  </si>
  <si>
    <t xml:space="preserve">Lohn/Gehalt </t>
  </si>
  <si>
    <t>Lohn/Gehalt</t>
  </si>
  <si>
    <t>Zusatzgehalt</t>
  </si>
  <si>
    <t>Mitarbeiter</t>
  </si>
  <si>
    <t>Beginn</t>
  </si>
  <si>
    <t>Ende</t>
  </si>
  <si>
    <t>ohne AG-Anteile</t>
  </si>
  <si>
    <t>gewichtet</t>
  </si>
  <si>
    <t>(Monat)</t>
  </si>
  <si>
    <t>Umsatzbereich</t>
  </si>
  <si>
    <t>Umsatz pro Auftrag in EUR</t>
  </si>
  <si>
    <t>umsatz in EUR</t>
  </si>
  <si>
    <t>In EUR</t>
  </si>
  <si>
    <t>erwarteter Umsatz</t>
  </si>
  <si>
    <t>erwartete Aufträge</t>
  </si>
  <si>
    <t>Umsatzbereich 2</t>
  </si>
  <si>
    <t>Umsatzbereich 3</t>
  </si>
  <si>
    <t>Umsatzbereich 4</t>
  </si>
  <si>
    <t>Umsatzbereich 5</t>
  </si>
  <si>
    <t>Umsatzbereich 6</t>
  </si>
  <si>
    <t>Umsatzbereich 7</t>
  </si>
  <si>
    <t>Umsatzbereich 8</t>
  </si>
  <si>
    <t>Umsatzbereich 9</t>
  </si>
  <si>
    <t>Umsatzbereich 10</t>
  </si>
  <si>
    <t>Anzahl erwarteter Aufträge pro</t>
  </si>
  <si>
    <t>Mindest- Umsatzbedarf</t>
  </si>
  <si>
    <t>zu beschaffen</t>
  </si>
  <si>
    <t>vorhanden</t>
  </si>
  <si>
    <t>(Jahre)</t>
  </si>
  <si>
    <t>Gewichteter Umsatz</t>
  </si>
  <si>
    <t>Typische Umsatzart/ Bezeichnung</t>
  </si>
  <si>
    <t>Hilfstabelle: Ermittlung Durchschnittsumsatz je Kunde</t>
  </si>
  <si>
    <t>Durchschnittsumsatz je Kunde brutto</t>
  </si>
  <si>
    <t>Anzahl Arbeitstage/Woche</t>
  </si>
  <si>
    <t>Umsatzart 1</t>
  </si>
  <si>
    <t>Umsatzart 2</t>
  </si>
  <si>
    <t>Umsatzart 3</t>
  </si>
  <si>
    <t>Umsatzart 4</t>
  </si>
  <si>
    <t>2. Einzahlungen aus Vorjahr</t>
  </si>
  <si>
    <t xml:space="preserve">  Anzahl Arbeitsmonate/Jahr</t>
  </si>
  <si>
    <t>Möglichkeiten der Umsatzplanung:</t>
  </si>
  <si>
    <t xml:space="preserve"> - z.B. für Unternehmen im </t>
  </si>
  <si>
    <t xml:space="preserve">   Bau- und Ausbaugewerbe</t>
  </si>
  <si>
    <t xml:space="preserve"> - Allgemeine Auftragsplanung</t>
  </si>
  <si>
    <t>1.</t>
  </si>
  <si>
    <t>3.</t>
  </si>
  <si>
    <t xml:space="preserve"> Summe privater Ausgaben</t>
  </si>
  <si>
    <t xml:space="preserve"> Private Ausgaben:</t>
  </si>
  <si>
    <t xml:space="preserve"> Sonstige Private Einnahmen:</t>
  </si>
  <si>
    <t>= Mindest - Umsatzbedarf</t>
  </si>
  <si>
    <t xml:space="preserve"> -</t>
  </si>
  <si>
    <t xml:space="preserve"> - </t>
  </si>
  <si>
    <t>Avalkredit:</t>
  </si>
  <si>
    <t>kurzfristige Zinsen, Bankgebühren</t>
  </si>
  <si>
    <t>Tilgungs- satz in%</t>
  </si>
  <si>
    <t>Laufzeit in Jahren</t>
  </si>
  <si>
    <t>Zinssatz</t>
  </si>
  <si>
    <t>Tilgungsatz</t>
  </si>
  <si>
    <r>
      <t>Inhaber/-in</t>
    </r>
    <r>
      <rPr>
        <b/>
        <sz val="10"/>
        <rFont val="Arial"/>
        <family val="2"/>
      </rPr>
      <t xml:space="preserve"> oder</t>
    </r>
  </si>
  <si>
    <t>Planumsatz 3. Geschäftsjahr</t>
  </si>
  <si>
    <t xml:space="preserve"> = Saldo der Ausgaben abzüglich der sonstigen Einnahmen </t>
  </si>
  <si>
    <t xml:space="preserve"> =&gt; Laufzeit</t>
  </si>
  <si>
    <t>Umsatz ohne USt.</t>
  </si>
  <si>
    <t>Kreditverpflichtungen</t>
  </si>
  <si>
    <t>2. Langfristiges Fremdkapital</t>
  </si>
  <si>
    <t>3. Kurzfristiges Fremdkapital</t>
  </si>
  <si>
    <t xml:space="preserve"> - Barmittel</t>
  </si>
  <si>
    <t xml:space="preserve"> - vorhanden / Sacheinlage</t>
  </si>
  <si>
    <t>Summe Disagio:</t>
  </si>
  <si>
    <t>1. Eigenkapital:</t>
  </si>
  <si>
    <t>Eigenkapital gesamt</t>
  </si>
  <si>
    <r>
      <t>Kapitalbedarfsplanung</t>
    </r>
    <r>
      <rPr>
        <b/>
        <sz val="10"/>
        <rFont val="Arial"/>
        <family val="2"/>
      </rPr>
      <t xml:space="preserve"> (Netto-Werte)</t>
    </r>
  </si>
  <si>
    <t>Kapitalbedarfs- und Finanzierungsplanung</t>
  </si>
  <si>
    <t>Rentabilitätsvorschau</t>
  </si>
  <si>
    <t>Liquiditätsplanung</t>
  </si>
  <si>
    <t>Investitionen, und weitere Ausgaben gemäß Kapitalbedarfsplan</t>
  </si>
  <si>
    <t>Höhe:</t>
  </si>
  <si>
    <t>Höhe</t>
  </si>
  <si>
    <t>Summe Zahlungen:</t>
  </si>
  <si>
    <t>Zinsen EUR</t>
  </si>
  <si>
    <t>Kapitaldienst EUR</t>
  </si>
  <si>
    <t>Tilgung EUR</t>
  </si>
  <si>
    <t xml:space="preserve">Bestand       EUR </t>
  </si>
  <si>
    <t>Unternehmenskonzept</t>
  </si>
  <si>
    <t>GmbH-Gesellsch./Geschäftsführer/-in</t>
  </si>
  <si>
    <t>Anzahl erwarteter Aufträge pro:</t>
  </si>
  <si>
    <t xml:space="preserve"> + Abschreibungen</t>
  </si>
  <si>
    <t xml:space="preserve">  - Tilgungen</t>
  </si>
  <si>
    <t xml:space="preserve"> - übrige Kosten</t>
  </si>
  <si>
    <t>III. Liquiditätssaldo</t>
  </si>
  <si>
    <t>III: Liquiditätssaldo</t>
  </si>
  <si>
    <t>3. Sonstige Einzahlungen</t>
  </si>
  <si>
    <t xml:space="preserve"> - Materialeinsatz Bereich 1</t>
  </si>
  <si>
    <t xml:space="preserve"> - Materialeinsatz Bereich 2</t>
  </si>
  <si>
    <t xml:space="preserve"> - Materialeinsatz Bereich 3</t>
  </si>
  <si>
    <t xml:space="preserve"> - Materialeinsatz Bereich 4</t>
  </si>
  <si>
    <t xml:space="preserve"> = Überschuß / Fehlbetrag</t>
  </si>
  <si>
    <t xml:space="preserve"> - Fremdleistungen</t>
  </si>
  <si>
    <t xml:space="preserve"> = verkaufbare Stunden</t>
  </si>
  <si>
    <t xml:space="preserve"> = verkaufbare Stunden pro Person</t>
  </si>
  <si>
    <t xml:space="preserve"> + MWSt</t>
  </si>
  <si>
    <t>Umsatz lt. Rentabilitätsvorschau 1. J. (Netto)</t>
  </si>
  <si>
    <t xml:space="preserve"> = Umsatz laut Rentabilitätvorschau (Brutto)</t>
  </si>
  <si>
    <t>2.</t>
  </si>
  <si>
    <t>ab 11. Jahr</t>
  </si>
  <si>
    <t>Garantieentgelt %</t>
  </si>
  <si>
    <t>auf offenen Kreditbetrag</t>
  </si>
  <si>
    <t xml:space="preserve">Bestand   </t>
  </si>
  <si>
    <t>Kapitaldienst</t>
  </si>
  <si>
    <t>Zinsen /</t>
  </si>
  <si>
    <t>Garantieentg.</t>
  </si>
  <si>
    <t>1. - 3. Jahr</t>
  </si>
  <si>
    <t>4. - 10. Jahr</t>
  </si>
  <si>
    <t xml:space="preserve">Zinssatz </t>
  </si>
  <si>
    <t xml:space="preserve"> = Tagesumsatz</t>
  </si>
  <si>
    <t xml:space="preserve">EUR </t>
  </si>
  <si>
    <r>
      <t xml:space="preserve"> = </t>
    </r>
    <r>
      <rPr>
        <b/>
        <sz val="10"/>
        <rFont val="Arial"/>
        <family val="2"/>
      </rPr>
      <t>Öffnungstage</t>
    </r>
    <r>
      <rPr>
        <sz val="10"/>
        <rFont val="Arial"/>
        <family val="2"/>
      </rPr>
      <t xml:space="preserve"> pro Jahr</t>
    </r>
  </si>
  <si>
    <t xml:space="preserve">  - für Ladengeschäfte</t>
  </si>
  <si>
    <t>Arbeitgeberanteil-Faktor Minijobs:</t>
  </si>
  <si>
    <t>Bereich 1</t>
  </si>
  <si>
    <t>Bereich 2</t>
  </si>
  <si>
    <t>Bereich 3</t>
  </si>
  <si>
    <t>Bereich 4</t>
  </si>
  <si>
    <t>Vorname Name</t>
  </si>
  <si>
    <t>Straße, Hausnummer</t>
  </si>
  <si>
    <t>Postleitzahl</t>
  </si>
  <si>
    <t>Ort</t>
  </si>
  <si>
    <t>Telefonnummer</t>
  </si>
  <si>
    <t>Gewerbe</t>
  </si>
  <si>
    <t>Rechtsform</t>
  </si>
  <si>
    <t>Geplantes Gründungsdatum (TT.MM.JJ)</t>
  </si>
  <si>
    <t>Struktur:</t>
  </si>
  <si>
    <t>Dauer (Monate)</t>
  </si>
  <si>
    <t>Gründerzuschuss:</t>
  </si>
  <si>
    <t>Phase I</t>
  </si>
  <si>
    <t>Phase II</t>
  </si>
  <si>
    <t>ALG I  (EUR)</t>
  </si>
  <si>
    <t>Monatspauschale (EUR)</t>
  </si>
  <si>
    <t>Summe Gründerzuschuss</t>
  </si>
  <si>
    <t>Summe Einstiegsgeld</t>
  </si>
  <si>
    <t xml:space="preserve"> Summe sonstige privater Einnahmen </t>
  </si>
  <si>
    <t>Verlängerungsoptionen 2. Jahr (Monate)</t>
  </si>
  <si>
    <t>Zuschussdegression im 2. Jahr (%)</t>
  </si>
  <si>
    <t>Verlängerungsoption 1. Jahr (Monate)</t>
  </si>
  <si>
    <t>Nebenrechnung zur Ermittlung eines Gründerzuschusses (GZ) oder eines Einstiegsgeldes (ESG)</t>
  </si>
  <si>
    <t>1. Jahr</t>
  </si>
  <si>
    <t>2.Jahr</t>
  </si>
  <si>
    <t>Arbeitslosengeld II und Einstiegsgeld</t>
  </si>
  <si>
    <t>ALG II und Einstiegsgeld monatlich (EUR)</t>
  </si>
  <si>
    <t>ALG II und Einstiegsgeld monatlich: 2. Jahr (EUR)</t>
  </si>
  <si>
    <t>Gründerzuschuss oder ALG II und Einstiegegeld</t>
  </si>
  <si>
    <t>Geplanter Arbeitseinsatz:</t>
  </si>
  <si>
    <t>2. Jahr</t>
  </si>
  <si>
    <t>3.Jahr</t>
  </si>
  <si>
    <t>BG+</t>
  </si>
  <si>
    <t>Monatspauschale (300 EUR)</t>
  </si>
  <si>
    <t>Körperschaftssteuer incl. Solidaritätszuschlag (15,825%)</t>
  </si>
  <si>
    <t xml:space="preserve"> - Gewerbesteuer und Körperschaftssteuer</t>
  </si>
  <si>
    <t>Summe Betriebssteuern</t>
  </si>
  <si>
    <t>Steuerabschätzung</t>
  </si>
  <si>
    <r>
      <t xml:space="preserve">Gewerbesteuer / </t>
    </r>
    <r>
      <rPr>
        <i/>
        <sz val="10"/>
        <rFont val="Arial"/>
        <family val="2"/>
      </rPr>
      <t>Hebesatz in %</t>
    </r>
  </si>
  <si>
    <t>Einzelunternehmen</t>
  </si>
  <si>
    <t>Gesellschaft bürgerlichen Rechts (GbR)</t>
  </si>
  <si>
    <t>OHG</t>
  </si>
  <si>
    <t>KG</t>
  </si>
  <si>
    <t>GmbH &amp; Co KG</t>
  </si>
  <si>
    <t>GmbH</t>
  </si>
  <si>
    <t>UG (haftungsbeschränkt)</t>
  </si>
  <si>
    <t>Name bzw. Tätigkeitsbereich</t>
  </si>
  <si>
    <t xml:space="preserve">       Empfehlung: Nutzen Sie die Bearbeitungshinweise!</t>
  </si>
  <si>
    <t>Gewerbesteuer / Körperschaftssteuer</t>
  </si>
  <si>
    <t>eingetragener Kaufmann  e.K.</t>
  </si>
  <si>
    <t>eingetragene Kauffrau  e.K.</t>
  </si>
  <si>
    <t>Tilgungsfreie</t>
  </si>
  <si>
    <t>Zinssatz        in %</t>
  </si>
  <si>
    <t>Monate</t>
  </si>
  <si>
    <t>Fremdmittel:</t>
  </si>
  <si>
    <t>1. Personalkostenverteilung 3 Jahre</t>
  </si>
  <si>
    <t>3. Jahr</t>
  </si>
  <si>
    <t>2. Tilgungsverteilung drei Jahre für Tilgungsdarlehen</t>
  </si>
  <si>
    <t>3. Zinsverteilung drei Jahre für Tilgungsdarlehen</t>
  </si>
  <si>
    <t>bestehender Kontokorrent</t>
  </si>
  <si>
    <t>geplanter Kontokorrent</t>
  </si>
  <si>
    <t>Unternehmensname:</t>
  </si>
  <si>
    <t>geplanter Unternehmensname</t>
  </si>
  <si>
    <t>Personalkosten:</t>
  </si>
  <si>
    <t>Übrige Kosten:</t>
  </si>
  <si>
    <t>Betriebssteuern</t>
  </si>
  <si>
    <t>Kalkulatorische Kosten</t>
  </si>
  <si>
    <t>Zwischensumme</t>
  </si>
  <si>
    <t>Ermittlung der abrechenbaren Stunden:</t>
  </si>
  <si>
    <t xml:space="preserve"> = abrechenbare Stunden pro Person</t>
  </si>
  <si>
    <t xml:space="preserve"> = abrechenbare Stunden</t>
  </si>
  <si>
    <t>=</t>
  </si>
  <si>
    <t>über Stunden abzurechnende Kosten</t>
  </si>
  <si>
    <t>Kfz-Kosten (incl. Leasing, Steuern, Vers., Rep., ohne AfA)</t>
  </si>
  <si>
    <t>Büro (Porto, Zeitschriften, sonst. Bürobedarf)</t>
  </si>
  <si>
    <t>Büro (Telefon, Telefax, Internet)</t>
  </si>
  <si>
    <t>Buchführung und Abschlusskosten / Beratungskosten</t>
  </si>
  <si>
    <t>Abraum - und Abfallbeseitigung</t>
  </si>
  <si>
    <t>Werkzeug und Kleingeräte GWG</t>
  </si>
  <si>
    <t>Betriebsbedarf</t>
  </si>
  <si>
    <t>Kosten der Warenabgabe (incl.  Gewährleistungen)</t>
  </si>
  <si>
    <t>Reparaturen, Instandhaltung</t>
  </si>
  <si>
    <t>Miete / Leasing (ohne Kfz) für bewegliche Wirtschaftsgüter</t>
  </si>
  <si>
    <t>Inhaber / Meister</t>
  </si>
  <si>
    <t>abrechenbare Stunden</t>
  </si>
  <si>
    <t>Im zweiten Jahr zusätzlich geplante Investitionen</t>
  </si>
  <si>
    <t>Werbung  / Reisekosten</t>
  </si>
  <si>
    <t>email:</t>
  </si>
  <si>
    <t>Mikromezzanin - Beteiligung</t>
  </si>
  <si>
    <t>Vergütung</t>
  </si>
  <si>
    <t>Gewinnbeteiligung</t>
  </si>
  <si>
    <t>Mikromezzanin</t>
  </si>
  <si>
    <t xml:space="preserve"> - Fremdleistungen und Materialeinsatz  gesamt</t>
  </si>
  <si>
    <t>Aufschläge</t>
  </si>
  <si>
    <t xml:space="preserve">Fremdleistungsaufschlag </t>
  </si>
  <si>
    <t xml:space="preserve">Materialaufschlag Bereich 1  </t>
  </si>
  <si>
    <t xml:space="preserve">Materialaufschlag Bereich 2 </t>
  </si>
  <si>
    <t xml:space="preserve">Materialaufschlag Bereich 3  </t>
  </si>
  <si>
    <t xml:space="preserve">Materialaufschlag Bereich 4  </t>
  </si>
  <si>
    <t>Summe Aufschläge</t>
  </si>
  <si>
    <t xml:space="preserve"> - Summe Kalkulatorische Kosten</t>
  </si>
  <si>
    <t>Überschuß / Fehlbetrag</t>
  </si>
  <si>
    <t>Über den Stundenkostensatz abzurechnende Kosten:</t>
  </si>
  <si>
    <t xml:space="preserve">USt </t>
  </si>
  <si>
    <t>Angaben zu den Zahlungszielen, und zur Umsatzsteuer:</t>
  </si>
  <si>
    <t xml:space="preserve"> Mikromezzanin - Beteiligung</t>
  </si>
  <si>
    <t>USt</t>
  </si>
  <si>
    <t>Rückzahlung</t>
  </si>
  <si>
    <t>Vergütung /</t>
  </si>
  <si>
    <t>Gewinnbeteilig.</t>
  </si>
  <si>
    <t>sonstige Zahlungen / Rücklagen</t>
  </si>
  <si>
    <t xml:space="preserve">Tilgung </t>
  </si>
  <si>
    <t>email</t>
  </si>
  <si>
    <t>Darlehen 3:</t>
  </si>
  <si>
    <t xml:space="preserve"> ( Annahme: Die Tilgungsleistung im Monat der Tilgung wird in dem Tilgungsmonat nicht mehr verzinst)</t>
  </si>
  <si>
    <t>% - Anteil am Gesamtumsatz</t>
  </si>
  <si>
    <t xml:space="preserve">Brutto -Umsatz je Kunde </t>
  </si>
  <si>
    <t xml:space="preserve">Stundenkostensatz </t>
  </si>
  <si>
    <t>Geschäftsjahr:</t>
  </si>
  <si>
    <t>Summe abrechenbare Stunden</t>
  </si>
  <si>
    <t xml:space="preserve"> = Gewinn / Verlust nach Steuern</t>
  </si>
  <si>
    <r>
      <rPr>
        <sz val="10"/>
        <rFont val="Calibri"/>
        <family val="2"/>
      </rPr>
      <t>Ø</t>
    </r>
    <r>
      <rPr>
        <sz val="7"/>
        <rFont val="Arial"/>
        <family val="2"/>
      </rPr>
      <t xml:space="preserve"> </t>
    </r>
    <r>
      <rPr>
        <sz val="10"/>
        <rFont val="Arial"/>
        <family val="2"/>
      </rPr>
      <t>Tagesarbeitszeit</t>
    </r>
  </si>
  <si>
    <t>Limited (Ltd.)</t>
  </si>
  <si>
    <t>Jahr 2</t>
  </si>
  <si>
    <t>Jahr 3</t>
  </si>
  <si>
    <t xml:space="preserve">  - Unternehmerlohn</t>
  </si>
  <si>
    <t xml:space="preserve">Im dritten Jahr zusätzlich geplante Investitionen </t>
  </si>
  <si>
    <t>Kostenarten (Netto-Werte)</t>
  </si>
  <si>
    <t>Geplanter Umsatz (Netto-Werte):</t>
  </si>
  <si>
    <t>Bereich 5</t>
  </si>
  <si>
    <t>Bereich 6</t>
  </si>
  <si>
    <t>Bereich 7</t>
  </si>
  <si>
    <t>Bereich 8</t>
  </si>
  <si>
    <t>Bereich 9</t>
  </si>
  <si>
    <t>Bereich 10</t>
  </si>
  <si>
    <t xml:space="preserve"> - Materialeinsatz Bereich 5</t>
  </si>
  <si>
    <t xml:space="preserve"> - Materialeinsatz Bereich 6</t>
  </si>
  <si>
    <t xml:space="preserve"> - Materialeinsatz Bereich 7</t>
  </si>
  <si>
    <t xml:space="preserve"> - Materialeinsatz Bereich 8</t>
  </si>
  <si>
    <t xml:space="preserve"> - Materialeinsatz Bereich 9</t>
  </si>
  <si>
    <t xml:space="preserve"> - Materialeinsatz Bereich 10</t>
  </si>
  <si>
    <t xml:space="preserve"> -  sonstige kalkulatorische Kosten / Gewinnmarge</t>
  </si>
  <si>
    <t>Rückzahlungsfreie Zeit</t>
  </si>
  <si>
    <t>Rückzahlungszeitraum</t>
  </si>
  <si>
    <r>
      <t xml:space="preserve"> Zeit  in</t>
    </r>
    <r>
      <rPr>
        <b/>
        <sz val="10"/>
        <rFont val="Arial"/>
        <family val="2"/>
      </rPr>
      <t xml:space="preserve"> Monaten</t>
    </r>
  </si>
  <si>
    <t>4. Fremdkapital in Form von Zuschüssen</t>
  </si>
  <si>
    <t xml:space="preserve"> - Schenkung</t>
  </si>
  <si>
    <t>sonstige Zuschüsse</t>
  </si>
  <si>
    <t>Meistergründungsprämie (MGP)</t>
  </si>
  <si>
    <t>Der Stundenkostensatz ("netto"):</t>
  </si>
  <si>
    <t>Der Stundenverrechnungssatz:</t>
  </si>
  <si>
    <t xml:space="preserve">Stundenverrechnungssatz </t>
  </si>
  <si>
    <t>Netto</t>
  </si>
  <si>
    <t>Brutto</t>
  </si>
  <si>
    <t>MWSt-Satz:</t>
  </si>
  <si>
    <t>Kurzfristiges Fremdkapital gesamt</t>
  </si>
  <si>
    <t>Zuschüsse gesamt</t>
  </si>
  <si>
    <t>Langfristiges Fremdkapital gesamt</t>
  </si>
  <si>
    <t>Als Stundenverrechnungssatz wird der am Markt durchgesetzte Preis einer Handwerkerstunde verstanden.
Abweichungen vom oben ermittelten  Stundenkostesatz  sind zu untersuchen und Konsequenzen zu besprechen.</t>
  </si>
  <si>
    <t>Material-/Warenbestand</t>
  </si>
  <si>
    <t>"Brutto"</t>
  </si>
  <si>
    <t>Umsatzart 5</t>
  </si>
  <si>
    <t>Umsatzart 6</t>
  </si>
  <si>
    <t>Umsatzart 7</t>
  </si>
  <si>
    <t>Umsatzart 8</t>
  </si>
  <si>
    <t>Umsatzart 9</t>
  </si>
  <si>
    <t>Umsatzart 10</t>
  </si>
  <si>
    <t>weitere Hilfsmittel</t>
  </si>
  <si>
    <r>
      <t xml:space="preserve">notwendiger Unternehmerlohn </t>
    </r>
    <r>
      <rPr>
        <sz val="10"/>
        <rFont val="Arial"/>
        <family val="2"/>
      </rPr>
      <t>(nicht bei Kapitalgesellschaften)</t>
    </r>
  </si>
  <si>
    <t>Kapitalbedarf</t>
  </si>
  <si>
    <t>Finanzierung</t>
  </si>
  <si>
    <t>Zins und Tilgung</t>
  </si>
  <si>
    <t>Personalkosten 1. Jahr</t>
  </si>
  <si>
    <t>Personalkosten 3. Jahr</t>
  </si>
  <si>
    <t>übrige Kosten</t>
  </si>
  <si>
    <t>Unternehmerlohn</t>
  </si>
  <si>
    <t>Rentabilität</t>
  </si>
  <si>
    <t>Liquiditätsplan 2. Jahr</t>
  </si>
  <si>
    <t>Umsatzplanung</t>
  </si>
  <si>
    <t>Stundenkostensatz</t>
  </si>
  <si>
    <t>Bearbeitungshinweise</t>
  </si>
  <si>
    <t>Deckblatt</t>
  </si>
  <si>
    <t>zurück zur Startseite</t>
  </si>
  <si>
    <t>zur Rentabilitätsberechnung</t>
  </si>
  <si>
    <t>zurück nach oben</t>
  </si>
  <si>
    <t>Kapazitätsorientiert</t>
  </si>
  <si>
    <t>nach Kundenzahl</t>
  </si>
  <si>
    <t>nach Zahl der Aufträge</t>
  </si>
  <si>
    <t xml:space="preserve">manuelle Bearbeitung zulassen?    </t>
  </si>
  <si>
    <t>Wenn die Mitarbeiter-Produktivität ermittelt werden soll, klicken Sie auf das Pluszeichen links neben der Zeile 42 und zusätzlich auf das Pluszeichen über der Spalte S</t>
  </si>
  <si>
    <t>Zum Ausblenden der Mitarbeiterproduk- tivität auf das Minuszeichen links neben Zeile 42 und auf das Minuszeichen über der Spalte S klicken.</t>
  </si>
  <si>
    <t>Wenn Sie die Berücksichtigung weiterer Mitarbeiter nicht benötigen, klicken Sie auf das Minus-Zeichen links neben der Zeile 22.</t>
  </si>
  <si>
    <t>Wenn weitere Mit- arbeiter berückichtigt werden sollen, klicken Sie auf das Plus-Zeichen links neben der Zeile 22.</t>
  </si>
  <si>
    <t>Wenn Sie weitere Umsatzbereiche  nicht benötigen, klicken Sie auf die Minus-Zeichen links neben den Zeilen 21 und 33.</t>
  </si>
  <si>
    <t>zu finanzieren durch (Finanzierungsplan):</t>
  </si>
  <si>
    <t>Gesamtfinanzierung (1. - 4.)</t>
  </si>
  <si>
    <t>Wenn weitere Umsatz- und entsprechende Materialeinsatzbereiche  berücksichtigt werden sollen, klicken Sie auf die Plus-Zeichen links neben den Zeilen 21 und 33.</t>
  </si>
  <si>
    <t xml:space="preserve"> - Material- und Fremdleistungsaufschläge:</t>
  </si>
  <si>
    <t>"Netto"</t>
  </si>
  <si>
    <t>Darlehen3::</t>
  </si>
  <si>
    <t>Umsatzbereich 1</t>
  </si>
  <si>
    <t>Monat</t>
  </si>
  <si>
    <t>Materialaufschlag Bereich 5</t>
  </si>
  <si>
    <t>Materialaufschlag Bereich 6</t>
  </si>
  <si>
    <t>Materialaufschlag Bereich 7</t>
  </si>
  <si>
    <t>Materialaufschlag Bereich 8</t>
  </si>
  <si>
    <t>Materialaufschlag Bereich 9</t>
  </si>
  <si>
    <t>Materialaufschlag Bereich 10</t>
  </si>
  <si>
    <t>Anfang</t>
  </si>
  <si>
    <t>Jan</t>
  </si>
  <si>
    <t>Feb</t>
  </si>
  <si>
    <t>Mrz</t>
  </si>
  <si>
    <t>Apr</t>
  </si>
  <si>
    <t>Mai</t>
  </si>
  <si>
    <t>Jun</t>
  </si>
  <si>
    <t>Jul</t>
  </si>
  <si>
    <t>Aug</t>
  </si>
  <si>
    <t>Sep</t>
  </si>
  <si>
    <t>Okt</t>
  </si>
  <si>
    <t>Nov</t>
  </si>
  <si>
    <t>Dez</t>
  </si>
  <si>
    <t>Planumsatz 2. Geschäftsjahr</t>
  </si>
  <si>
    <t>Jahr</t>
  </si>
  <si>
    <t>Tag</t>
  </si>
  <si>
    <t>Beginn Jahr 2</t>
  </si>
  <si>
    <t>Beginn Jahr 3</t>
  </si>
  <si>
    <t>MA-Planung</t>
  </si>
  <si>
    <t>USt-freie Investitionen gemäß Kapitalbedarfsplan</t>
  </si>
  <si>
    <t>davon USt-frei</t>
  </si>
  <si>
    <t>Bei Betriebsübernahmen im Ganzen klicken Sie auf das Plus-Zeichen über Spalte F, um auch umsatzsteuerbefreite Investitionen zu ermöglichen.</t>
  </si>
  <si>
    <t>USt-Satz</t>
  </si>
  <si>
    <t>Sollten Sie z.T. dem ermäßigten Umsatzsteuersatz
 von 7% unterworfen sein, klicken Sie auf das Plus-
Zeichen, um entsprechende Anpassungen 
vorzunehmen</t>
  </si>
  <si>
    <t>Rücklagen für Einkommensteuer mit Solidaritätszuschlag</t>
  </si>
  <si>
    <t>Vorfinanzierung der Umsatzsteuer</t>
  </si>
  <si>
    <t>Kleinunternehmerregelung</t>
  </si>
  <si>
    <t>4. Kleinunternehmerregelung für 3 Jahre</t>
  </si>
  <si>
    <t>(wenn auf Startseite mit "ja" aktiviert)</t>
  </si>
  <si>
    <t>Aktiviert</t>
  </si>
  <si>
    <t>auf Startseite</t>
  </si>
  <si>
    <t>durch Planzahlen</t>
  </si>
  <si>
    <t>Personalkosten 2. Jahr</t>
  </si>
  <si>
    <t>Liquiditätsplan 1. Jahr</t>
  </si>
  <si>
    <t>Liquiditätsplan 3. Jahr</t>
  </si>
  <si>
    <t>Umsatz</t>
  </si>
  <si>
    <t>Keine Vorfinanzierung der Umsatzsteuer</t>
  </si>
  <si>
    <r>
      <rPr>
        <b/>
        <u/>
        <sz val="10"/>
        <rFont val="Arial"/>
        <family val="2"/>
      </rPr>
      <t>Keine</t>
    </r>
    <r>
      <rPr>
        <sz val="10"/>
        <rFont val="Arial"/>
        <family val="2"/>
      </rPr>
      <t xml:space="preserve"> Vorfinanzierung der Umsatzsteuer</t>
    </r>
  </si>
  <si>
    <t>Name des Inhabers / Gesellschafters</t>
  </si>
  <si>
    <t>Wenn Sie bis zu zwei 
zusätzliche Gesellschafter 
hinzufügen möchten, 
klicken Sie auf das 
Pluszeichen über Spalte AJ.</t>
  </si>
  <si>
    <t>Wenn Gründerzuschuss oder ALG II / 
Einstiegesgeld berücksichtigt werden sollen, klicken Sie auf das Plus-Zeichen links neben der Zeile 69.</t>
  </si>
  <si>
    <t>Wenn Gründerzuschuss oder ALG II / 
Einstiegesgeld wieder ausgeblendet werden sollen, klicken Sie auf das Minus-Zeichen links neben der Zeile 69.</t>
  </si>
  <si>
    <t>am Markt erzielbarer Stundenverrechnungssatz für Auszubildende (falls abweichend)</t>
  </si>
  <si>
    <t>über die abrechenbaren Stunden der Auszubildenden zu verrechnenden Kosten</t>
  </si>
  <si>
    <t xml:space="preserve"> - abrechenbare Stunden der Auszubildenden</t>
  </si>
  <si>
    <t>Liquiditätsplan 2. Jahr: Verteilung nach Vorjahreswerten</t>
  </si>
  <si>
    <t>Sonstiges1</t>
  </si>
  <si>
    <t>Sonstiges2</t>
  </si>
  <si>
    <t>Sonstiges3</t>
  </si>
  <si>
    <t/>
  </si>
  <si>
    <t>Liquiditätsplan 3. Jahr: Verteilung nach Vorjahreswerten</t>
  </si>
  <si>
    <t>Hinweise zum Speichern und Drucken</t>
  </si>
  <si>
    <t>Diese Kurzanleitung zeigt auf, wie Sie den Gründungsplaner mit den gängigen MS Office Produkten 
ordnungsgemäß speichern und drucken können.</t>
  </si>
  <si>
    <t>Schritt 1: Ausblenden von ungewünschten Tabellenblättern</t>
  </si>
  <si>
    <t>Wenn gewisse Tabellenblätter wie beispielsweise diese "Hinweise zum Speichern und Drucken"</t>
  </si>
  <si>
    <t>oder die "Bearbeitungshinweise" nicht mit abgespeichert und / oder gedruckt werden sollen,</t>
  </si>
  <si>
    <t>lassen sie sich in der unteren Menüleiste über einen Rechtsklick ausblenden.</t>
  </si>
  <si>
    <t>Schritt 2: Start des Speichervorgangs</t>
  </si>
  <si>
    <t xml:space="preserve">In einem zweiten Schritt klicken Sie am oberen linken Bildschirmrand auf die Schaltfläche "Datei" </t>
  </si>
  <si>
    <t>und betätigen hier die Schaltfläche "Speichern unter".</t>
  </si>
  <si>
    <t>Schritt 3: Umwandlung der Excel-Datei in eine PDF-Datei</t>
  </si>
  <si>
    <t xml:space="preserve">Es erscheint das "Speichern unter"-Fenster, in dem Sie den Dateityp über ein Dropdown-Menü von </t>
  </si>
  <si>
    <t>"Excel-Arbeitsmappe (*.xlsx)" in das Format "PDF (*.pdf)" ändern können.</t>
  </si>
  <si>
    <t>Schritt 4: Gesamte Arbeitsmappe auswählen</t>
  </si>
  <si>
    <t xml:space="preserve">Bevor Sie nun den Speichervorgang abschließen, klicken Sie im "Speichern unter"-Fenster auf die </t>
  </si>
  <si>
    <t>Schaltfläche "Optionen" und aktivieren dann im sich öffnenden "Optionen"-Fenster die Auswahl-</t>
  </si>
  <si>
    <t>möglichkeit "Gesamte Arbeitsmappe".</t>
  </si>
  <si>
    <t>Schritt 5: Speichern und drucken</t>
  </si>
  <si>
    <t xml:space="preserve">Wenn Sie abschließend auf die Schaltfläche "Speichern" klicken, öffnet sich  die Datei in einem </t>
  </si>
  <si>
    <t xml:space="preserve">neuen PDF-Dokument. Hierin sollten lediglich die von Ihnen gewünschten Tabellenblätter in der </t>
  </si>
  <si>
    <t xml:space="preserve">korrekten Reihenfolge angezeigt werden. Dieses PDF-Dokument kann dann problemlos an alle </t>
  </si>
  <si>
    <t>gewünschten Empfänger verschickt und / oder gedruckt werden.</t>
  </si>
  <si>
    <t>Verbleibende Liquidität</t>
  </si>
  <si>
    <t>III. Gewinn/Verlust</t>
  </si>
  <si>
    <t>Gewinn/Verlust kumuliert</t>
  </si>
  <si>
    <t>Aufwendungen (Nettowerte)</t>
  </si>
  <si>
    <t>II. Summe Aufwendungen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</si>
</sst>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0.00\ &quot;DM&quot;;[Red]\-#,##0.00\ &quot;DM&quot;"/>
    <numFmt numFmtId="165" formatCode="_-* #,##0.00\ _D_M_-;\-* #,##0.00\ _D_M_-;_-* &quot;-&quot;??\ _D_M_-;_-@_-"/>
    <numFmt numFmtId="166" formatCode="0.0"/>
    <numFmt numFmtId="167" formatCode="0.0000"/>
    <numFmt numFmtId="168" formatCode="0.0%"/>
    <numFmt numFmtId="169" formatCode="#,##0.0"/>
    <numFmt numFmtId="170" formatCode="General_)"/>
    <numFmt numFmtId="171" formatCode="0_)"/>
    <numFmt numFmtId="172" formatCode="#,##0.00_ ;\-#,##0.00\ "/>
    <numFmt numFmtId="173" formatCode="#,##0_ ;[Red]\-#,##0\ "/>
    <numFmt numFmtId="174" formatCode="#,##0_ ;\-#,##0\ "/>
    <numFmt numFmtId="175" formatCode="m"/>
    <numFmt numFmtId="176" formatCode="mmm"/>
    <numFmt numFmtId="177" formatCode="0.00_ ;[Red]\-0.00\ "/>
    <numFmt numFmtId="178" formatCode="#,##0.00\ &quot;€&quot;"/>
    <numFmt numFmtId="179" formatCode="#,##0\ &quot;€&quot;"/>
    <numFmt numFmtId="180" formatCode="#,##0.00\ _€"/>
    <numFmt numFmtId="181" formatCode="mmm\ yyyy"/>
    <numFmt numFmtId="182" formatCode="mmm/\ yyyy"/>
    <numFmt numFmtId="183" formatCode="#,##0.00;[Red]#,##0.00"/>
    <numFmt numFmtId="184" formatCode="[$-407]mmm/\ yy;@"/>
  </numFmts>
  <fonts count="77">
    <font>
      <sz val="10"/>
      <name val="MS Sans Serif"/>
    </font>
    <font>
      <sz val="11"/>
      <color indexed="8"/>
      <name val="Calibri"/>
      <family val="2"/>
    </font>
    <font>
      <b/>
      <sz val="10"/>
      <name val="MS Sans Serif"/>
      <family val="2"/>
    </font>
    <font>
      <i/>
      <sz val="10"/>
      <name val="MS Sans Serif"/>
      <family val="2"/>
    </font>
    <font>
      <sz val="10"/>
      <name val="MS Sans Serif"/>
      <family val="2"/>
    </font>
    <font>
      <b/>
      <u/>
      <sz val="14"/>
      <name val="Arial"/>
      <family val="2"/>
    </font>
    <font>
      <sz val="10"/>
      <name val="Arial"/>
      <family val="2"/>
    </font>
    <font>
      <b/>
      <sz val="10"/>
      <name val="Arial"/>
      <family val="2"/>
    </font>
    <font>
      <sz val="8"/>
      <name val="Arial"/>
      <family val="2"/>
    </font>
    <font>
      <b/>
      <u/>
      <sz val="12"/>
      <name val="Arial"/>
      <family val="2"/>
    </font>
    <font>
      <sz val="10"/>
      <name val="Arial"/>
      <family val="2"/>
    </font>
    <font>
      <b/>
      <i/>
      <sz val="10"/>
      <name val="Arial"/>
      <family val="2"/>
    </font>
    <font>
      <b/>
      <sz val="8"/>
      <name val="Arial"/>
      <family val="2"/>
    </font>
    <font>
      <u/>
      <sz val="20"/>
      <name val="Arial"/>
      <family val="2"/>
    </font>
    <font>
      <sz val="12"/>
      <name val="Arial"/>
      <family val="2"/>
    </font>
    <font>
      <i/>
      <sz val="10"/>
      <name val="Arial"/>
      <family val="2"/>
    </font>
    <font>
      <b/>
      <sz val="16"/>
      <name val="Arial"/>
      <family val="2"/>
    </font>
    <font>
      <b/>
      <sz val="12"/>
      <name val="Arial"/>
      <family val="2"/>
    </font>
    <font>
      <sz val="8"/>
      <color indexed="81"/>
      <name val="Tahoma"/>
      <family val="2"/>
    </font>
    <font>
      <b/>
      <i/>
      <sz val="12"/>
      <name val="Arial"/>
      <family val="2"/>
    </font>
    <font>
      <b/>
      <sz val="22"/>
      <name val="Arial"/>
      <family val="2"/>
    </font>
    <font>
      <b/>
      <u/>
      <sz val="10"/>
      <name val="Arial"/>
      <family val="2"/>
    </font>
    <font>
      <b/>
      <sz val="12"/>
      <color indexed="10"/>
      <name val="Arial"/>
      <family val="2"/>
    </font>
    <font>
      <sz val="10"/>
      <color indexed="81"/>
      <name val="Tahoma"/>
      <family val="2"/>
    </font>
    <font>
      <b/>
      <sz val="10"/>
      <color indexed="81"/>
      <name val="Tahoma"/>
      <family val="2"/>
    </font>
    <font>
      <sz val="9"/>
      <name val="Arial"/>
      <family val="2"/>
    </font>
    <font>
      <b/>
      <sz val="14"/>
      <name val="Arial"/>
      <family val="2"/>
    </font>
    <font>
      <b/>
      <sz val="12"/>
      <name val="MS Sans Serif"/>
      <family val="2"/>
    </font>
    <font>
      <b/>
      <sz val="11"/>
      <name val="Arial"/>
      <family val="2"/>
    </font>
    <font>
      <sz val="11"/>
      <name val="Arial"/>
      <family val="2"/>
    </font>
    <font>
      <sz val="10"/>
      <color indexed="9"/>
      <name val="Arial"/>
      <family val="2"/>
    </font>
    <font>
      <sz val="10"/>
      <color indexed="10"/>
      <name val="Arial"/>
      <family val="2"/>
    </font>
    <font>
      <sz val="10"/>
      <color indexed="81"/>
      <name val="Arial"/>
      <family val="2"/>
    </font>
    <font>
      <sz val="11"/>
      <color indexed="81"/>
      <name val="Arial"/>
      <family val="2"/>
    </font>
    <font>
      <sz val="9"/>
      <color indexed="81"/>
      <name val="Tahoma"/>
      <family val="2"/>
    </font>
    <font>
      <sz val="9"/>
      <color indexed="81"/>
      <name val="Arial"/>
      <family val="2"/>
    </font>
    <font>
      <sz val="8"/>
      <color indexed="81"/>
      <name val="Arial"/>
      <family val="2"/>
    </font>
    <font>
      <sz val="12"/>
      <name val="MS Sans Serif"/>
      <family val="2"/>
    </font>
    <font>
      <sz val="12"/>
      <color indexed="10"/>
      <name val="Arial"/>
      <family val="2"/>
    </font>
    <font>
      <sz val="13.5"/>
      <name val="Arial"/>
      <family val="2"/>
    </font>
    <font>
      <sz val="9"/>
      <color indexed="10"/>
      <name val="Arial"/>
      <family val="2"/>
    </font>
    <font>
      <sz val="11"/>
      <name val="MS Sans Serif"/>
      <family val="2"/>
    </font>
    <font>
      <b/>
      <sz val="10"/>
      <color indexed="81"/>
      <name val="Arial"/>
      <family val="2"/>
    </font>
    <font>
      <i/>
      <sz val="9"/>
      <name val="Arial"/>
      <family val="2"/>
    </font>
    <font>
      <sz val="10"/>
      <color indexed="81"/>
      <name val="@Arial Unicode MS"/>
      <family val="2"/>
    </font>
    <font>
      <b/>
      <sz val="10"/>
      <color indexed="81"/>
      <name val="@Arial Unicode MS"/>
      <family val="2"/>
    </font>
    <font>
      <sz val="10"/>
      <name val="MS Sans Serif"/>
      <family val="2"/>
    </font>
    <font>
      <u/>
      <sz val="8.5"/>
      <color indexed="12"/>
      <name val="MS Sans Serif"/>
      <family val="2"/>
    </font>
    <font>
      <b/>
      <sz val="10"/>
      <color indexed="8"/>
      <name val="MS Sans Serif"/>
      <family val="2"/>
    </font>
    <font>
      <sz val="10"/>
      <color indexed="8"/>
      <name val="MS Sans Serif"/>
      <family val="2"/>
    </font>
    <font>
      <sz val="10"/>
      <color indexed="9"/>
      <name val="MS Sans Serif"/>
      <family val="2"/>
    </font>
    <font>
      <b/>
      <sz val="8.5"/>
      <color indexed="8"/>
      <name val="MS Sans Serif"/>
      <family val="2"/>
    </font>
    <font>
      <sz val="10"/>
      <name val="MS Sans Serif"/>
      <family val="2"/>
    </font>
    <font>
      <sz val="22"/>
      <name val="Arial"/>
      <family val="2"/>
    </font>
    <font>
      <b/>
      <sz val="24"/>
      <name val="Arial"/>
      <family val="2"/>
    </font>
    <font>
      <sz val="14"/>
      <name val="Arial"/>
      <family val="2"/>
    </font>
    <font>
      <b/>
      <sz val="14"/>
      <color indexed="10"/>
      <name val="Arial"/>
      <family val="2"/>
    </font>
    <font>
      <u/>
      <sz val="14"/>
      <color indexed="12"/>
      <name val="MS Sans Serif"/>
      <family val="2"/>
    </font>
    <font>
      <sz val="10"/>
      <name val="Calibri"/>
      <family val="2"/>
    </font>
    <font>
      <sz val="7"/>
      <name val="Arial"/>
      <family val="2"/>
    </font>
    <font>
      <sz val="12"/>
      <color indexed="81"/>
      <name val="Arial"/>
      <family val="2"/>
    </font>
    <font>
      <sz val="10"/>
      <color theme="0"/>
      <name val="Arial"/>
      <family val="2"/>
    </font>
    <font>
      <sz val="10"/>
      <color rgb="FFFF0000"/>
      <name val="MS Sans Serif"/>
      <family val="2"/>
    </font>
    <font>
      <sz val="10"/>
      <color rgb="FFFF0000"/>
      <name val="Arial"/>
      <family val="2"/>
    </font>
    <font>
      <b/>
      <sz val="10"/>
      <color rgb="FFFF0000"/>
      <name val="Arial"/>
      <family val="2"/>
    </font>
    <font>
      <sz val="12"/>
      <color theme="0"/>
      <name val="Arial"/>
      <family val="2"/>
    </font>
    <font>
      <b/>
      <sz val="12"/>
      <color theme="0"/>
      <name val="Arial"/>
      <family val="2"/>
    </font>
    <font>
      <sz val="10"/>
      <color theme="1"/>
      <name val="Arial"/>
      <family val="2"/>
    </font>
    <font>
      <b/>
      <sz val="10"/>
      <color theme="1"/>
      <name val="Arial"/>
      <family val="2"/>
    </font>
    <font>
      <sz val="10"/>
      <color indexed="12"/>
      <name val="Arial"/>
      <family val="2"/>
    </font>
    <font>
      <sz val="12"/>
      <color indexed="12"/>
      <name val="Arial"/>
      <family val="2"/>
    </font>
    <font>
      <sz val="8.5"/>
      <name val="MS Sans Serif"/>
      <family val="2"/>
    </font>
    <font>
      <sz val="12"/>
      <color rgb="FFFF0000"/>
      <name val="Arial"/>
      <family val="2"/>
    </font>
    <font>
      <sz val="14"/>
      <color rgb="FFFF0000"/>
      <name val="Arial"/>
      <family val="2"/>
    </font>
    <font>
      <i/>
      <sz val="12"/>
      <name val="Arial"/>
      <family val="2"/>
    </font>
    <font>
      <sz val="10"/>
      <color rgb="FF000000"/>
      <name val="MS Sans Serif"/>
    </font>
    <font>
      <sz val="10"/>
      <color indexed="81"/>
      <name val="Segoe UI"/>
      <family val="2"/>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5"/>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8">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bottom style="medium">
        <color indexed="64"/>
      </bottom>
      <diagonal/>
    </border>
    <border>
      <left/>
      <right style="thin">
        <color indexed="64"/>
      </right>
      <top style="double">
        <color indexed="64"/>
      </top>
      <bottom/>
      <diagonal/>
    </border>
    <border>
      <left style="medium">
        <color indexed="64"/>
      </left>
      <right style="thin">
        <color indexed="64"/>
      </right>
      <top/>
      <bottom/>
      <diagonal/>
    </border>
    <border>
      <left/>
      <right style="thin">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38" fontId="4" fillId="0" borderId="0" applyFont="0" applyFill="0" applyBorder="0" applyAlignment="0" applyProtection="0"/>
    <xf numFmtId="165" fontId="10" fillId="0" borderId="0" applyFont="0" applyFill="0" applyBorder="0" applyAlignment="0" applyProtection="0"/>
    <xf numFmtId="0" fontId="47" fillId="0" borderId="0" applyNumberFormat="0" applyFill="0" applyBorder="0" applyAlignment="0" applyProtection="0">
      <alignment vertical="top"/>
      <protection locked="0"/>
    </xf>
    <xf numFmtId="40"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xf numFmtId="0" fontId="10" fillId="0" borderId="0"/>
  </cellStyleXfs>
  <cellXfs count="1351">
    <xf numFmtId="0" fontId="0" fillId="0" borderId="0" xfId="0"/>
    <xf numFmtId="0" fontId="14" fillId="0" borderId="0" xfId="20" applyFont="1"/>
    <xf numFmtId="0" fontId="6" fillId="0" borderId="0" xfId="0" applyFont="1"/>
    <xf numFmtId="0" fontId="6" fillId="0" borderId="1" xfId="0" applyFont="1" applyBorder="1"/>
    <xf numFmtId="170" fontId="6" fillId="0" borderId="1" xfId="0" applyNumberFormat="1" applyFont="1" applyBorder="1" applyAlignment="1">
      <alignment horizontal="left"/>
    </xf>
    <xf numFmtId="0" fontId="8" fillId="0" borderId="0" xfId="0" applyFont="1"/>
    <xf numFmtId="1" fontId="8" fillId="0" borderId="0" xfId="0" applyNumberFormat="1" applyFont="1"/>
    <xf numFmtId="38" fontId="8" fillId="0" borderId="0" xfId="0" applyNumberFormat="1" applyFont="1"/>
    <xf numFmtId="2" fontId="8" fillId="0" borderId="0" xfId="0" applyNumberFormat="1" applyFont="1"/>
    <xf numFmtId="164" fontId="8" fillId="0" borderId="0" xfId="0" applyNumberFormat="1" applyFont="1"/>
    <xf numFmtId="0" fontId="12" fillId="0" borderId="0" xfId="0" applyFont="1"/>
    <xf numFmtId="1" fontId="12" fillId="0" borderId="0" xfId="0" applyNumberFormat="1" applyFont="1"/>
    <xf numFmtId="14" fontId="8" fillId="0" borderId="0" xfId="0" applyNumberFormat="1" applyFont="1"/>
    <xf numFmtId="3" fontId="8" fillId="0" borderId="0" xfId="21" applyNumberFormat="1" applyFont="1"/>
    <xf numFmtId="0" fontId="10" fillId="0" borderId="0" xfId="22"/>
    <xf numFmtId="0" fontId="10" fillId="0" borderId="0" xfId="22" applyAlignment="1">
      <alignment horizontal="center" vertical="center"/>
    </xf>
    <xf numFmtId="0" fontId="7" fillId="0" borderId="0" xfId="0" applyFont="1"/>
    <xf numFmtId="0" fontId="6" fillId="0" borderId="0" xfId="20" applyFont="1"/>
    <xf numFmtId="1" fontId="10" fillId="0" borderId="0" xfId="22" applyNumberFormat="1"/>
    <xf numFmtId="0" fontId="10" fillId="9" borderId="0" xfId="22" applyFill="1"/>
    <xf numFmtId="0" fontId="31" fillId="9" borderId="0" xfId="22" applyFont="1" applyFill="1"/>
    <xf numFmtId="1" fontId="10" fillId="9" borderId="0" xfId="22" applyNumberFormat="1" applyFill="1"/>
    <xf numFmtId="0" fontId="6" fillId="0" borderId="0" xfId="0" applyFont="1" applyAlignment="1">
      <alignment wrapText="1"/>
    </xf>
    <xf numFmtId="0" fontId="10" fillId="10" borderId="0" xfId="22" applyFill="1"/>
    <xf numFmtId="1" fontId="10" fillId="10" borderId="0" xfId="22" applyNumberFormat="1" applyFill="1"/>
    <xf numFmtId="0" fontId="31" fillId="10" borderId="0" xfId="22" applyFont="1" applyFill="1"/>
    <xf numFmtId="0" fontId="4" fillId="0" borderId="0" xfId="18"/>
    <xf numFmtId="0" fontId="49" fillId="0" borderId="0" xfId="0" applyFont="1"/>
    <xf numFmtId="0" fontId="50" fillId="0" borderId="0" xfId="0" applyFont="1"/>
    <xf numFmtId="0" fontId="2" fillId="0" borderId="2" xfId="18" applyFont="1" applyBorder="1"/>
    <xf numFmtId="0" fontId="4" fillId="0" borderId="3" xfId="18" applyBorder="1"/>
    <xf numFmtId="0" fontId="4" fillId="0" borderId="4" xfId="18" applyBorder="1"/>
    <xf numFmtId="0" fontId="4" fillId="0" borderId="1" xfId="18" applyBorder="1"/>
    <xf numFmtId="0" fontId="2" fillId="0" borderId="0" xfId="18" applyFont="1"/>
    <xf numFmtId="0" fontId="4" fillId="0" borderId="5" xfId="18" applyBorder="1"/>
    <xf numFmtId="166" fontId="4" fillId="0" borderId="0" xfId="18" applyNumberFormat="1"/>
    <xf numFmtId="1" fontId="4" fillId="0" borderId="0" xfId="18" applyNumberFormat="1"/>
    <xf numFmtId="166" fontId="4" fillId="0" borderId="5" xfId="18" applyNumberFormat="1" applyBorder="1"/>
    <xf numFmtId="0" fontId="4" fillId="0" borderId="6" xfId="18" applyBorder="1"/>
    <xf numFmtId="166" fontId="4" fillId="0" borderId="7" xfId="18" applyNumberFormat="1" applyBorder="1"/>
    <xf numFmtId="1" fontId="4" fillId="0" borderId="7" xfId="18" applyNumberFormat="1" applyBorder="1"/>
    <xf numFmtId="166" fontId="4" fillId="0" borderId="8" xfId="18" applyNumberFormat="1" applyBorder="1"/>
    <xf numFmtId="0" fontId="0" fillId="0" borderId="5" xfId="0" applyBorder="1"/>
    <xf numFmtId="0" fontId="4" fillId="0" borderId="8" xfId="18" applyBorder="1"/>
    <xf numFmtId="0" fontId="10" fillId="13" borderId="0" xfId="22" applyFill="1"/>
    <xf numFmtId="0" fontId="10" fillId="13" borderId="0" xfId="22" applyFill="1" applyAlignment="1">
      <alignment horizontal="center" vertical="center"/>
    </xf>
    <xf numFmtId="0" fontId="2" fillId="0" borderId="0" xfId="18" applyFont="1" applyAlignment="1">
      <alignment horizontal="right"/>
    </xf>
    <xf numFmtId="0" fontId="17" fillId="0" borderId="0" xfId="0" applyFont="1"/>
    <xf numFmtId="0" fontId="31" fillId="13" borderId="0" xfId="0" applyFont="1" applyFill="1"/>
    <xf numFmtId="0" fontId="6" fillId="13" borderId="0" xfId="0" applyFont="1" applyFill="1"/>
    <xf numFmtId="0" fontId="26" fillId="13" borderId="0" xfId="19" applyFont="1" applyFill="1" applyAlignment="1" applyProtection="1">
      <alignment horizontal="right"/>
      <protection hidden="1"/>
    </xf>
    <xf numFmtId="0" fontId="26" fillId="13" borderId="0" xfId="19" applyFont="1" applyFill="1" applyAlignment="1" applyProtection="1">
      <alignment horizontal="left"/>
      <protection hidden="1"/>
    </xf>
    <xf numFmtId="0" fontId="6" fillId="0" borderId="0" xfId="20" applyFont="1" applyAlignment="1">
      <alignment horizontal="center" vertical="center"/>
    </xf>
    <xf numFmtId="0" fontId="6" fillId="0" borderId="0" xfId="20" applyFont="1" applyAlignment="1">
      <alignment horizontal="center"/>
    </xf>
    <xf numFmtId="2" fontId="0" fillId="0" borderId="0" xfId="0" applyNumberFormat="1"/>
    <xf numFmtId="2" fontId="2" fillId="0" borderId="0" xfId="18" applyNumberFormat="1" applyFont="1"/>
    <xf numFmtId="2" fontId="4" fillId="0" borderId="0" xfId="18" applyNumberFormat="1"/>
    <xf numFmtId="2" fontId="4" fillId="0" borderId="0" xfId="18" applyNumberFormat="1" applyAlignment="1">
      <alignment horizontal="right"/>
    </xf>
    <xf numFmtId="2" fontId="2" fillId="0" borderId="0" xfId="18" applyNumberFormat="1" applyFont="1" applyAlignment="1">
      <alignment horizontal="right"/>
    </xf>
    <xf numFmtId="2" fontId="4" fillId="0" borderId="7" xfId="18" applyNumberFormat="1" applyBorder="1"/>
    <xf numFmtId="2" fontId="2" fillId="0" borderId="7" xfId="18" applyNumberFormat="1" applyFont="1" applyBorder="1"/>
    <xf numFmtId="0" fontId="55" fillId="0" borderId="0" xfId="0" applyFont="1"/>
    <xf numFmtId="0" fontId="26" fillId="13" borderId="0" xfId="19" applyFont="1" applyFill="1" applyAlignment="1" applyProtection="1">
      <alignment horizontal="center"/>
      <protection hidden="1"/>
    </xf>
    <xf numFmtId="0" fontId="6" fillId="0" borderId="0" xfId="0" applyFont="1" applyProtection="1">
      <protection hidden="1"/>
    </xf>
    <xf numFmtId="170" fontId="5" fillId="0" borderId="0" xfId="0" applyNumberFormat="1" applyFont="1" applyAlignment="1" applyProtection="1">
      <alignment horizontal="left"/>
      <protection hidden="1"/>
    </xf>
    <xf numFmtId="183" fontId="17" fillId="0" borderId="0" xfId="0" quotePrefix="1" applyNumberFormat="1" applyFont="1" applyProtection="1">
      <protection hidden="1"/>
    </xf>
    <xf numFmtId="170" fontId="21" fillId="0" borderId="0" xfId="0" applyNumberFormat="1" applyFont="1" applyProtection="1">
      <protection hidden="1"/>
    </xf>
    <xf numFmtId="170" fontId="7" fillId="0" borderId="0" xfId="0" applyNumberFormat="1" applyFont="1" applyAlignment="1" applyProtection="1">
      <alignment horizontal="left"/>
      <protection hidden="1"/>
    </xf>
    <xf numFmtId="170" fontId="6" fillId="0" borderId="0" xfId="0" applyNumberFormat="1" applyFont="1" applyAlignment="1" applyProtection="1">
      <alignment horizontal="left"/>
      <protection hidden="1"/>
    </xf>
    <xf numFmtId="0" fontId="6" fillId="0" borderId="7" xfId="0" applyFont="1" applyBorder="1" applyProtection="1">
      <protection hidden="1"/>
    </xf>
    <xf numFmtId="0" fontId="6" fillId="0" borderId="5" xfId="0" applyFont="1" applyBorder="1" applyProtection="1">
      <protection hidden="1"/>
    </xf>
    <xf numFmtId="0" fontId="6" fillId="0" borderId="2" xfId="0" applyFont="1" applyBorder="1" applyAlignment="1" applyProtection="1">
      <alignment horizontal="center"/>
      <protection hidden="1"/>
    </xf>
    <xf numFmtId="0" fontId="6" fillId="0" borderId="9" xfId="0" applyFont="1" applyBorder="1" applyProtection="1">
      <protection hidden="1"/>
    </xf>
    <xf numFmtId="1" fontId="6" fillId="0" borderId="1" xfId="0" applyNumberFormat="1" applyFont="1" applyBorder="1" applyAlignment="1" applyProtection="1">
      <alignment horizontal="right"/>
      <protection hidden="1"/>
    </xf>
    <xf numFmtId="1" fontId="6" fillId="0" borderId="10" xfId="0" applyNumberFormat="1" applyFont="1" applyBorder="1" applyAlignment="1" applyProtection="1">
      <alignment horizontal="right"/>
      <protection hidden="1"/>
    </xf>
    <xf numFmtId="170" fontId="6" fillId="0" borderId="10" xfId="0" applyNumberFormat="1"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11" xfId="0" applyFont="1" applyBorder="1" applyAlignment="1" applyProtection="1">
      <alignment horizontal="center"/>
      <protection hidden="1"/>
    </xf>
    <xf numFmtId="1" fontId="7" fillId="0" borderId="12" xfId="0" applyNumberFormat="1" applyFont="1" applyBorder="1" applyAlignment="1" applyProtection="1">
      <alignment horizontal="center"/>
      <protection hidden="1"/>
    </xf>
    <xf numFmtId="1" fontId="7" fillId="0" borderId="13" xfId="0" applyNumberFormat="1" applyFont="1" applyBorder="1" applyAlignment="1" applyProtection="1">
      <alignment horizontal="center"/>
      <protection hidden="1"/>
    </xf>
    <xf numFmtId="170" fontId="6" fillId="0" borderId="5" xfId="0" applyNumberFormat="1" applyFont="1" applyBorder="1" applyAlignment="1" applyProtection="1">
      <alignment horizontal="center"/>
      <protection hidden="1"/>
    </xf>
    <xf numFmtId="0" fontId="6" fillId="0" borderId="1" xfId="0" applyFont="1" applyBorder="1" applyAlignment="1" applyProtection="1">
      <alignment horizontal="right"/>
      <protection hidden="1"/>
    </xf>
    <xf numFmtId="0" fontId="6" fillId="0" borderId="11" xfId="0" applyFont="1" applyBorder="1" applyAlignment="1" applyProtection="1">
      <alignment horizontal="right"/>
      <protection hidden="1"/>
    </xf>
    <xf numFmtId="170" fontId="31" fillId="0" borderId="2" xfId="0" applyNumberFormat="1" applyFont="1" applyBorder="1" applyAlignment="1" applyProtection="1">
      <alignment horizontal="left"/>
      <protection hidden="1"/>
    </xf>
    <xf numFmtId="38" fontId="6" fillId="0" borderId="13" xfId="13" applyFont="1" applyFill="1" applyBorder="1" applyProtection="1">
      <protection hidden="1"/>
    </xf>
    <xf numFmtId="2" fontId="6" fillId="0" borderId="12" xfId="0" applyNumberFormat="1" applyFont="1" applyBorder="1" applyProtection="1">
      <protection hidden="1"/>
    </xf>
    <xf numFmtId="0" fontId="6" fillId="0" borderId="12" xfId="0" applyFont="1" applyBorder="1" applyProtection="1">
      <protection hidden="1"/>
    </xf>
    <xf numFmtId="0" fontId="6" fillId="0" borderId="14" xfId="0" applyFont="1" applyBorder="1" applyProtection="1">
      <protection hidden="1"/>
    </xf>
    <xf numFmtId="170" fontId="6" fillId="0" borderId="12" xfId="0" applyNumberFormat="1" applyFont="1" applyBorder="1" applyAlignment="1" applyProtection="1">
      <alignment horizontal="left"/>
      <protection hidden="1"/>
    </xf>
    <xf numFmtId="170" fontId="31" fillId="0" borderId="13" xfId="0" applyNumberFormat="1" applyFont="1" applyBorder="1" applyAlignment="1" applyProtection="1">
      <alignment horizontal="left"/>
      <protection hidden="1"/>
    </xf>
    <xf numFmtId="38" fontId="7" fillId="0" borderId="13" xfId="13" applyFont="1" applyFill="1" applyBorder="1" applyProtection="1">
      <protection hidden="1"/>
    </xf>
    <xf numFmtId="2" fontId="6" fillId="0" borderId="13" xfId="0" applyNumberFormat="1" applyFont="1" applyBorder="1" applyProtection="1">
      <protection hidden="1"/>
    </xf>
    <xf numFmtId="0" fontId="6" fillId="0" borderId="1" xfId="0" applyFont="1" applyBorder="1" applyProtection="1">
      <protection hidden="1"/>
    </xf>
    <xf numFmtId="170" fontId="6" fillId="0" borderId="6" xfId="0" applyNumberFormat="1" applyFont="1" applyBorder="1" applyAlignment="1" applyProtection="1">
      <alignment horizontal="left"/>
      <protection hidden="1"/>
    </xf>
    <xf numFmtId="38" fontId="6" fillId="0" borderId="10" xfId="16" applyNumberFormat="1" applyFont="1" applyBorder="1" applyProtection="1">
      <protection hidden="1"/>
    </xf>
    <xf numFmtId="170" fontId="6" fillId="0" borderId="1" xfId="0" applyNumberFormat="1" applyFont="1" applyBorder="1" applyAlignment="1" applyProtection="1">
      <alignment horizontal="left"/>
      <protection hidden="1"/>
    </xf>
    <xf numFmtId="38" fontId="6" fillId="0" borderId="13" xfId="16" applyNumberFormat="1" applyFont="1" applyBorder="1" applyProtection="1">
      <protection hidden="1"/>
    </xf>
    <xf numFmtId="170" fontId="6" fillId="0" borderId="7" xfId="0" applyNumberFormat="1" applyFont="1" applyBorder="1" applyAlignment="1" applyProtection="1">
      <alignment horizontal="left"/>
      <protection hidden="1"/>
    </xf>
    <xf numFmtId="38" fontId="6" fillId="0" borderId="7" xfId="13" applyFont="1" applyFill="1" applyBorder="1" applyProtection="1">
      <protection hidden="1"/>
    </xf>
    <xf numFmtId="38" fontId="28" fillId="0" borderId="15" xfId="16" applyNumberFormat="1" applyFont="1" applyBorder="1" applyAlignment="1" applyProtection="1">
      <alignment horizontal="right"/>
      <protection hidden="1"/>
    </xf>
    <xf numFmtId="38" fontId="28" fillId="0" borderId="16" xfId="13" applyFont="1" applyBorder="1" applyProtection="1">
      <protection hidden="1"/>
    </xf>
    <xf numFmtId="2" fontId="28" fillId="0" borderId="17" xfId="0" applyNumberFormat="1" applyFont="1" applyBorder="1" applyProtection="1">
      <protection hidden="1"/>
    </xf>
    <xf numFmtId="0" fontId="29" fillId="0" borderId="16" xfId="0" applyFont="1" applyBorder="1" applyProtection="1">
      <protection hidden="1"/>
    </xf>
    <xf numFmtId="38" fontId="28" fillId="0" borderId="16" xfId="16" applyNumberFormat="1" applyFont="1" applyBorder="1" applyProtection="1">
      <protection hidden="1"/>
    </xf>
    <xf numFmtId="2" fontId="6" fillId="0" borderId="5" xfId="0" applyNumberFormat="1" applyFont="1" applyBorder="1" applyProtection="1">
      <protection hidden="1"/>
    </xf>
    <xf numFmtId="38" fontId="19" fillId="0" borderId="18" xfId="13" applyFont="1" applyBorder="1" applyProtection="1">
      <protection hidden="1"/>
    </xf>
    <xf numFmtId="2" fontId="19" fillId="0" borderId="18" xfId="0" applyNumberFormat="1" applyFont="1" applyBorder="1" applyProtection="1">
      <protection hidden="1"/>
    </xf>
    <xf numFmtId="0" fontId="6" fillId="0" borderId="0" xfId="0" quotePrefix="1" applyFont="1" applyProtection="1">
      <protection hidden="1"/>
    </xf>
    <xf numFmtId="38" fontId="6" fillId="0" borderId="0" xfId="0" applyNumberFormat="1" applyFont="1" applyProtection="1">
      <protection hidden="1"/>
    </xf>
    <xf numFmtId="0" fontId="6" fillId="0" borderId="0" xfId="0" quotePrefix="1" applyFont="1" applyAlignment="1" applyProtection="1">
      <alignment horizontal="center"/>
      <protection hidden="1"/>
    </xf>
    <xf numFmtId="1" fontId="6" fillId="0" borderId="0" xfId="0" applyNumberFormat="1" applyFont="1" applyProtection="1">
      <protection hidden="1"/>
    </xf>
    <xf numFmtId="0" fontId="39" fillId="0" borderId="0" xfId="0" applyFont="1" applyProtection="1">
      <protection hidden="1"/>
    </xf>
    <xf numFmtId="0" fontId="26" fillId="0" borderId="0" xfId="0" applyFont="1" applyProtection="1">
      <protection hidden="1"/>
    </xf>
    <xf numFmtId="0" fontId="55" fillId="0" borderId="0" xfId="0" applyFont="1" applyProtection="1">
      <protection hidden="1"/>
    </xf>
    <xf numFmtId="0" fontId="56" fillId="0" borderId="0" xfId="0" applyFont="1" applyProtection="1">
      <protection hidden="1"/>
    </xf>
    <xf numFmtId="0" fontId="55" fillId="0" borderId="0" xfId="0" applyFont="1" applyAlignment="1" applyProtection="1">
      <alignment horizontal="left" vertical="center"/>
      <protection hidden="1"/>
    </xf>
    <xf numFmtId="0" fontId="17" fillId="0" borderId="0" xfId="0" applyFont="1" applyProtection="1">
      <protection hidden="1"/>
    </xf>
    <xf numFmtId="0" fontId="6" fillId="0" borderId="19" xfId="0" applyFont="1" applyBorder="1" applyProtection="1">
      <protection hidden="1"/>
    </xf>
    <xf numFmtId="0" fontId="61" fillId="10" borderId="0" xfId="0" applyFont="1" applyFill="1" applyProtection="1">
      <protection hidden="1"/>
    </xf>
    <xf numFmtId="0" fontId="0" fillId="0" borderId="0" xfId="0" applyProtection="1">
      <protection hidden="1"/>
    </xf>
    <xf numFmtId="0" fontId="6" fillId="13" borderId="0" xfId="0" applyFont="1" applyFill="1" applyProtection="1">
      <protection hidden="1"/>
    </xf>
    <xf numFmtId="0" fontId="31" fillId="13" borderId="0" xfId="0" applyFont="1" applyFill="1" applyProtection="1">
      <protection hidden="1"/>
    </xf>
    <xf numFmtId="0" fontId="53" fillId="13" borderId="0" xfId="0" applyFont="1" applyFill="1" applyProtection="1">
      <protection hidden="1"/>
    </xf>
    <xf numFmtId="0" fontId="7" fillId="13" borderId="0" xfId="0" applyFont="1" applyFill="1" applyProtection="1">
      <protection hidden="1"/>
    </xf>
    <xf numFmtId="0" fontId="14" fillId="13" borderId="0" xfId="0" applyFont="1" applyFill="1" applyAlignment="1" applyProtection="1">
      <alignment horizontal="center"/>
      <protection hidden="1"/>
    </xf>
    <xf numFmtId="11" fontId="17" fillId="13" borderId="0" xfId="0" applyNumberFormat="1" applyFont="1" applyFill="1" applyAlignment="1" applyProtection="1">
      <alignment horizontal="center"/>
      <protection hidden="1"/>
    </xf>
    <xf numFmtId="0" fontId="14" fillId="13" borderId="0" xfId="0" applyFont="1" applyFill="1" applyProtection="1">
      <protection hidden="1"/>
    </xf>
    <xf numFmtId="170" fontId="6" fillId="0" borderId="7" xfId="0" applyNumberFormat="1" applyFont="1" applyBorder="1" applyProtection="1">
      <protection hidden="1"/>
    </xf>
    <xf numFmtId="38" fontId="6" fillId="0" borderId="13" xfId="13" applyFont="1" applyBorder="1" applyAlignment="1" applyProtection="1">
      <alignment horizontal="right"/>
      <protection hidden="1"/>
    </xf>
    <xf numFmtId="170" fontId="6" fillId="0" borderId="13" xfId="0" applyNumberFormat="1" applyFont="1" applyBorder="1" applyAlignment="1" applyProtection="1">
      <alignment horizontal="center"/>
      <protection hidden="1"/>
    </xf>
    <xf numFmtId="170" fontId="19" fillId="0" borderId="6" xfId="0" applyNumberFormat="1" applyFont="1" applyBorder="1" applyAlignment="1" applyProtection="1">
      <alignment horizontal="left"/>
      <protection hidden="1"/>
    </xf>
    <xf numFmtId="170" fontId="6" fillId="0" borderId="3" xfId="0" applyNumberFormat="1" applyFont="1" applyBorder="1" applyProtection="1">
      <protection hidden="1"/>
    </xf>
    <xf numFmtId="170" fontId="6" fillId="0" borderId="0" xfId="0" applyNumberFormat="1" applyFont="1" applyProtection="1">
      <protection hidden="1"/>
    </xf>
    <xf numFmtId="38" fontId="6" fillId="0" borderId="0" xfId="13" applyFont="1" applyBorder="1" applyAlignment="1" applyProtection="1">
      <alignment horizontal="right"/>
      <protection hidden="1"/>
    </xf>
    <xf numFmtId="166" fontId="6" fillId="0" borderId="0" xfId="0" applyNumberFormat="1" applyFont="1" applyProtection="1">
      <protection hidden="1"/>
    </xf>
    <xf numFmtId="170" fontId="7" fillId="0" borderId="0" xfId="0" applyNumberFormat="1" applyFont="1" applyProtection="1">
      <protection hidden="1"/>
    </xf>
    <xf numFmtId="170" fontId="6" fillId="0" borderId="0" xfId="0" applyNumberFormat="1" applyFont="1" applyAlignment="1" applyProtection="1">
      <alignment horizontal="center"/>
      <protection hidden="1"/>
    </xf>
    <xf numFmtId="170" fontId="28" fillId="0" borderId="0" xfId="0" applyNumberFormat="1" applyFont="1" applyProtection="1">
      <protection hidden="1"/>
    </xf>
    <xf numFmtId="0" fontId="15" fillId="0" borderId="7" xfId="0" applyFont="1" applyBorder="1" applyProtection="1">
      <protection hidden="1"/>
    </xf>
    <xf numFmtId="38" fontId="6" fillId="0" borderId="0" xfId="13" applyFont="1" applyBorder="1" applyProtection="1">
      <protection hidden="1"/>
    </xf>
    <xf numFmtId="170" fontId="7" fillId="0" borderId="1" xfId="0" applyNumberFormat="1" applyFont="1" applyBorder="1" applyAlignment="1" applyProtection="1">
      <alignment horizontal="left"/>
      <protection hidden="1"/>
    </xf>
    <xf numFmtId="166" fontId="6" fillId="0" borderId="10" xfId="0" applyNumberFormat="1" applyFont="1" applyBorder="1" applyProtection="1">
      <protection hidden="1"/>
    </xf>
    <xf numFmtId="170" fontId="6" fillId="0" borderId="8" xfId="0" applyNumberFormat="1" applyFont="1" applyBorder="1" applyAlignment="1" applyProtection="1">
      <alignment horizontal="left"/>
      <protection hidden="1"/>
    </xf>
    <xf numFmtId="3" fontId="6" fillId="0" borderId="13" xfId="0" applyNumberFormat="1" applyFont="1" applyBorder="1" applyProtection="1">
      <protection hidden="1"/>
    </xf>
    <xf numFmtId="166" fontId="6" fillId="0" borderId="13" xfId="0" applyNumberFormat="1" applyFont="1" applyBorder="1" applyProtection="1">
      <protection hidden="1"/>
    </xf>
    <xf numFmtId="170" fontId="7" fillId="0" borderId="12" xfId="0" applyNumberFormat="1" applyFont="1" applyBorder="1" applyAlignment="1" applyProtection="1">
      <alignment horizontal="left"/>
      <protection hidden="1"/>
    </xf>
    <xf numFmtId="170" fontId="7" fillId="0" borderId="14" xfId="0" applyNumberFormat="1" applyFont="1" applyBorder="1" applyAlignment="1" applyProtection="1">
      <alignment horizontal="left"/>
      <protection hidden="1"/>
    </xf>
    <xf numFmtId="38" fontId="7" fillId="0" borderId="13" xfId="13" applyFont="1" applyBorder="1" applyProtection="1">
      <protection hidden="1"/>
    </xf>
    <xf numFmtId="166" fontId="7" fillId="0" borderId="13" xfId="0" applyNumberFormat="1" applyFont="1" applyBorder="1" applyProtection="1">
      <protection hidden="1"/>
    </xf>
    <xf numFmtId="38" fontId="6" fillId="0" borderId="0" xfId="13" applyFont="1" applyFill="1" applyBorder="1" applyProtection="1">
      <protection hidden="1"/>
    </xf>
    <xf numFmtId="166" fontId="6" fillId="0" borderId="7" xfId="0" applyNumberFormat="1" applyFont="1" applyBorder="1" applyProtection="1">
      <protection hidden="1"/>
    </xf>
    <xf numFmtId="0" fontId="6" fillId="0" borderId="7" xfId="0" applyFont="1" applyBorder="1" applyAlignment="1" applyProtection="1">
      <alignment horizontal="center"/>
      <protection hidden="1"/>
    </xf>
    <xf numFmtId="0" fontId="6" fillId="0" borderId="0" xfId="0" applyFont="1" applyAlignment="1" applyProtection="1">
      <alignment horizontal="center"/>
      <protection hidden="1"/>
    </xf>
    <xf numFmtId="0" fontId="31" fillId="0" borderId="0" xfId="0" applyFont="1" applyAlignment="1" applyProtection="1">
      <alignment horizontal="center"/>
      <protection hidden="1"/>
    </xf>
    <xf numFmtId="170" fontId="7" fillId="0" borderId="19" xfId="0" applyNumberFormat="1" applyFont="1" applyBorder="1" applyAlignment="1" applyProtection="1">
      <alignment horizontal="left"/>
      <protection hidden="1"/>
    </xf>
    <xf numFmtId="38" fontId="7" fillId="0" borderId="19" xfId="13" applyFont="1" applyFill="1" applyBorder="1" applyProtection="1">
      <protection hidden="1"/>
    </xf>
    <xf numFmtId="0" fontId="6" fillId="0" borderId="9" xfId="0" applyFont="1" applyBorder="1" applyAlignment="1" applyProtection="1">
      <alignment horizontal="center"/>
      <protection hidden="1"/>
    </xf>
    <xf numFmtId="170" fontId="15" fillId="0" borderId="0" xfId="0" applyNumberFormat="1" applyFont="1" applyAlignment="1" applyProtection="1">
      <alignment horizontal="center"/>
      <protection hidden="1"/>
    </xf>
    <xf numFmtId="166" fontId="6" fillId="0" borderId="8" xfId="0" applyNumberFormat="1" applyFont="1" applyBorder="1" applyProtection="1">
      <protection hidden="1"/>
    </xf>
    <xf numFmtId="0" fontId="6" fillId="0" borderId="10" xfId="0" applyFont="1" applyBorder="1" applyAlignment="1" applyProtection="1">
      <alignment horizontal="center" wrapText="1"/>
      <protection hidden="1"/>
    </xf>
    <xf numFmtId="0" fontId="6" fillId="0" borderId="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0" fillId="0" borderId="5" xfId="0" applyBorder="1" applyProtection="1">
      <protection hidden="1"/>
    </xf>
    <xf numFmtId="1" fontId="6" fillId="0" borderId="13" xfId="0" applyNumberFormat="1" applyFont="1" applyBorder="1" applyProtection="1">
      <protection hidden="1"/>
    </xf>
    <xf numFmtId="3" fontId="6" fillId="0" borderId="9" xfId="0" applyNumberFormat="1" applyFont="1" applyBorder="1" applyProtection="1">
      <protection hidden="1"/>
    </xf>
    <xf numFmtId="170" fontId="6" fillId="0" borderId="11" xfId="0" applyNumberFormat="1" applyFont="1" applyBorder="1" applyAlignment="1" applyProtection="1">
      <alignment horizontal="left"/>
      <protection hidden="1"/>
    </xf>
    <xf numFmtId="3" fontId="6" fillId="0" borderId="0" xfId="0" applyNumberFormat="1" applyFont="1" applyProtection="1">
      <protection hidden="1"/>
    </xf>
    <xf numFmtId="3" fontId="6" fillId="0" borderId="4" xfId="0" applyNumberFormat="1" applyFont="1" applyBorder="1" applyProtection="1">
      <protection hidden="1"/>
    </xf>
    <xf numFmtId="0" fontId="6" fillId="0" borderId="13" xfId="0" applyFont="1" applyBorder="1" applyAlignment="1" applyProtection="1">
      <alignment horizontal="center" wrapText="1"/>
      <protection hidden="1"/>
    </xf>
    <xf numFmtId="3" fontId="6" fillId="0" borderId="8" xfId="0" applyNumberFormat="1" applyFont="1" applyBorder="1" applyProtection="1">
      <protection hidden="1"/>
    </xf>
    <xf numFmtId="2" fontId="40" fillId="0" borderId="0" xfId="0" applyNumberFormat="1" applyFont="1" applyAlignment="1" applyProtection="1">
      <alignment wrapText="1"/>
      <protection hidden="1"/>
    </xf>
    <xf numFmtId="170" fontId="6" fillId="0" borderId="10" xfId="0" applyNumberFormat="1" applyFont="1" applyBorder="1" applyAlignment="1" applyProtection="1">
      <alignment horizontal="left"/>
      <protection hidden="1"/>
    </xf>
    <xf numFmtId="3" fontId="6" fillId="0" borderId="11" xfId="0" applyNumberFormat="1" applyFont="1" applyBorder="1" applyProtection="1">
      <protection hidden="1"/>
    </xf>
    <xf numFmtId="170" fontId="7" fillId="0" borderId="20" xfId="0" applyNumberFormat="1" applyFont="1" applyBorder="1" applyAlignment="1" applyProtection="1">
      <alignment horizontal="left"/>
      <protection hidden="1"/>
    </xf>
    <xf numFmtId="170" fontId="7" fillId="0" borderId="21" xfId="0" applyNumberFormat="1" applyFont="1" applyBorder="1" applyAlignment="1" applyProtection="1">
      <alignment horizontal="left"/>
      <protection hidden="1"/>
    </xf>
    <xf numFmtId="38" fontId="7" fillId="0" borderId="16" xfId="13" applyFont="1" applyBorder="1" applyProtection="1">
      <protection hidden="1"/>
    </xf>
    <xf numFmtId="166" fontId="7" fillId="0" borderId="16" xfId="0" applyNumberFormat="1" applyFont="1" applyBorder="1" applyProtection="1">
      <protection hidden="1"/>
    </xf>
    <xf numFmtId="0" fontId="6" fillId="0" borderId="22" xfId="0" applyFont="1" applyBorder="1" applyProtection="1">
      <protection hidden="1"/>
    </xf>
    <xf numFmtId="3" fontId="6" fillId="0" borderId="10" xfId="0" applyNumberFormat="1" applyFont="1" applyBorder="1" applyProtection="1">
      <protection hidden="1"/>
    </xf>
    <xf numFmtId="0" fontId="7" fillId="0" borderId="1" xfId="0" applyFont="1" applyBorder="1" applyProtection="1">
      <protection hidden="1"/>
    </xf>
    <xf numFmtId="0" fontId="6" fillId="0" borderId="13" xfId="0" applyFont="1" applyBorder="1" applyProtection="1">
      <protection hidden="1"/>
    </xf>
    <xf numFmtId="170" fontId="7" fillId="0" borderId="23" xfId="0" applyNumberFormat="1" applyFont="1" applyBorder="1" applyAlignment="1" applyProtection="1">
      <alignment horizontal="left"/>
      <protection hidden="1"/>
    </xf>
    <xf numFmtId="170" fontId="7" fillId="0" borderId="24" xfId="0" applyNumberFormat="1" applyFont="1" applyBorder="1" applyAlignment="1" applyProtection="1">
      <alignment horizontal="left"/>
      <protection hidden="1"/>
    </xf>
    <xf numFmtId="38" fontId="7" fillId="0" borderId="17" xfId="13" applyFont="1" applyBorder="1" applyProtection="1">
      <protection hidden="1"/>
    </xf>
    <xf numFmtId="166" fontId="7" fillId="0" borderId="17" xfId="0" applyNumberFormat="1" applyFont="1" applyBorder="1" applyProtection="1">
      <protection hidden="1"/>
    </xf>
    <xf numFmtId="170" fontId="19" fillId="0" borderId="0" xfId="0" applyNumberFormat="1" applyFont="1" applyAlignment="1" applyProtection="1">
      <alignment horizontal="left"/>
      <protection hidden="1"/>
    </xf>
    <xf numFmtId="38" fontId="19" fillId="0" borderId="0" xfId="13" applyFont="1" applyBorder="1" applyProtection="1">
      <protection hidden="1"/>
    </xf>
    <xf numFmtId="183" fontId="38" fillId="0" borderId="0" xfId="0" quotePrefix="1" applyNumberFormat="1" applyFont="1" applyProtection="1">
      <protection hidden="1"/>
    </xf>
    <xf numFmtId="1" fontId="30" fillId="10" borderId="0" xfId="13" applyNumberFormat="1" applyFont="1" applyFill="1" applyProtection="1">
      <protection hidden="1"/>
    </xf>
    <xf numFmtId="0" fontId="9" fillId="0" borderId="0" xfId="0" applyFont="1" applyProtection="1">
      <protection hidden="1"/>
    </xf>
    <xf numFmtId="0" fontId="8" fillId="0" borderId="0" xfId="0" applyFont="1" applyProtection="1">
      <protection hidden="1"/>
    </xf>
    <xf numFmtId="0" fontId="9" fillId="10" borderId="0" xfId="0" applyFont="1" applyFill="1" applyProtection="1">
      <protection hidden="1"/>
    </xf>
    <xf numFmtId="0" fontId="52" fillId="10" borderId="0" xfId="0" applyFont="1" applyFill="1" applyProtection="1">
      <protection hidden="1"/>
    </xf>
    <xf numFmtId="0" fontId="8" fillId="10" borderId="0" xfId="0" applyFont="1" applyFill="1" applyProtection="1">
      <protection hidden="1"/>
    </xf>
    <xf numFmtId="0" fontId="52" fillId="0" borderId="0" xfId="0" applyFont="1" applyProtection="1">
      <protection hidden="1"/>
    </xf>
    <xf numFmtId="0" fontId="4"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0" fontId="17" fillId="10" borderId="0" xfId="0" applyFont="1" applyFill="1" applyProtection="1">
      <protection hidden="1"/>
    </xf>
    <xf numFmtId="0" fontId="10" fillId="0" borderId="0" xfId="0" applyFont="1" applyProtection="1">
      <protection hidden="1"/>
    </xf>
    <xf numFmtId="1" fontId="7" fillId="0" borderId="0" xfId="0" applyNumberFormat="1" applyFont="1" applyProtection="1">
      <protection hidden="1"/>
    </xf>
    <xf numFmtId="3" fontId="6" fillId="10" borderId="2" xfId="0" applyNumberFormat="1" applyFont="1" applyFill="1" applyBorder="1" applyProtection="1">
      <protection hidden="1"/>
    </xf>
    <xf numFmtId="3" fontId="6" fillId="10" borderId="4" xfId="0" applyNumberFormat="1" applyFont="1" applyFill="1" applyBorder="1" applyProtection="1">
      <protection hidden="1"/>
    </xf>
    <xf numFmtId="3" fontId="6" fillId="10" borderId="0" xfId="0" applyNumberFormat="1" applyFont="1" applyFill="1" applyProtection="1">
      <protection hidden="1"/>
    </xf>
    <xf numFmtId="3" fontId="6" fillId="0" borderId="13" xfId="0" applyNumberFormat="1" applyFont="1" applyBorder="1" applyAlignment="1" applyProtection="1">
      <alignment horizontal="right"/>
      <protection hidden="1"/>
    </xf>
    <xf numFmtId="3" fontId="6" fillId="0" borderId="14" xfId="0" applyNumberFormat="1" applyFont="1" applyBorder="1" applyProtection="1">
      <protection hidden="1"/>
    </xf>
    <xf numFmtId="0" fontId="0" fillId="0" borderId="13" xfId="0" applyBorder="1" applyProtection="1">
      <protection hidden="1"/>
    </xf>
    <xf numFmtId="3" fontId="6" fillId="0" borderId="12" xfId="0" applyNumberFormat="1" applyFont="1" applyBorder="1" applyProtection="1">
      <protection hidden="1"/>
    </xf>
    <xf numFmtId="0" fontId="6" fillId="10" borderId="1" xfId="0" applyFont="1" applyFill="1" applyBorder="1" applyProtection="1">
      <protection hidden="1"/>
    </xf>
    <xf numFmtId="2" fontId="6" fillId="12" borderId="12" xfId="0" applyNumberFormat="1" applyFont="1" applyFill="1" applyBorder="1" applyProtection="1">
      <protection locked="0" hidden="1"/>
    </xf>
    <xf numFmtId="2" fontId="6" fillId="0" borderId="13" xfId="0" applyNumberFormat="1" applyFont="1" applyBorder="1" applyAlignment="1" applyProtection="1">
      <alignment horizontal="right"/>
      <protection hidden="1"/>
    </xf>
    <xf numFmtId="0" fontId="25" fillId="0" borderId="14" xfId="0" applyFont="1" applyBorder="1" applyProtection="1">
      <protection hidden="1"/>
    </xf>
    <xf numFmtId="10" fontId="6" fillId="0" borderId="12" xfId="17" applyNumberFormat="1" applyFont="1" applyBorder="1" applyProtection="1">
      <protection hidden="1"/>
    </xf>
    <xf numFmtId="1" fontId="6" fillId="10" borderId="1" xfId="0" applyNumberFormat="1" applyFont="1" applyFill="1" applyBorder="1" applyProtection="1">
      <protection hidden="1"/>
    </xf>
    <xf numFmtId="2" fontId="6" fillId="12" borderId="13" xfId="0" applyNumberFormat="1" applyFont="1" applyFill="1" applyBorder="1" applyAlignment="1" applyProtection="1">
      <alignment horizontal="right"/>
      <protection locked="0" hidden="1"/>
    </xf>
    <xf numFmtId="0" fontId="25" fillId="0" borderId="4" xfId="0" applyFont="1" applyBorder="1" applyProtection="1">
      <protection hidden="1"/>
    </xf>
    <xf numFmtId="1" fontId="6" fillId="0" borderId="12" xfId="0" applyNumberFormat="1" applyFont="1" applyBorder="1" applyProtection="1">
      <protection hidden="1"/>
    </xf>
    <xf numFmtId="0" fontId="0" fillId="0" borderId="14" xfId="0" applyBorder="1" applyProtection="1">
      <protection hidden="1"/>
    </xf>
    <xf numFmtId="164" fontId="6" fillId="10" borderId="1" xfId="0" applyNumberFormat="1" applyFont="1" applyFill="1" applyBorder="1" applyProtection="1">
      <protection hidden="1"/>
    </xf>
    <xf numFmtId="164" fontId="6" fillId="0" borderId="13" xfId="0" applyNumberFormat="1" applyFont="1" applyBorder="1" applyProtection="1">
      <protection hidden="1"/>
    </xf>
    <xf numFmtId="0" fontId="62" fillId="0" borderId="0" xfId="0" applyFont="1" applyProtection="1">
      <protection hidden="1"/>
    </xf>
    <xf numFmtId="0" fontId="6" fillId="0" borderId="8" xfId="0" applyFont="1" applyBorder="1" applyProtection="1">
      <protection hidden="1"/>
    </xf>
    <xf numFmtId="0" fontId="6" fillId="10" borderId="6" xfId="0" applyFont="1" applyFill="1" applyBorder="1" applyProtection="1">
      <protection hidden="1"/>
    </xf>
    <xf numFmtId="2" fontId="62" fillId="0" borderId="0" xfId="0" applyNumberFormat="1" applyFont="1" applyProtection="1">
      <protection hidden="1"/>
    </xf>
    <xf numFmtId="0" fontId="25" fillId="0" borderId="19" xfId="0" applyFont="1" applyBorder="1" applyProtection="1">
      <protection hidden="1"/>
    </xf>
    <xf numFmtId="0" fontId="52" fillId="0" borderId="14" xfId="0" applyFont="1" applyBorder="1" applyProtection="1">
      <protection hidden="1"/>
    </xf>
    <xf numFmtId="0" fontId="52" fillId="10" borderId="0" xfId="0" applyFont="1" applyFill="1" applyAlignment="1" applyProtection="1">
      <alignment horizontal="center" vertical="center" wrapText="1"/>
      <protection hidden="1"/>
    </xf>
    <xf numFmtId="166" fontId="63" fillId="0" borderId="0" xfId="0" applyNumberFormat="1" applyFont="1" applyProtection="1">
      <protection hidden="1"/>
    </xf>
    <xf numFmtId="1" fontId="6" fillId="0" borderId="13" xfId="0" applyNumberFormat="1" applyFont="1" applyBorder="1" applyAlignment="1" applyProtection="1">
      <alignment horizontal="right"/>
      <protection hidden="1"/>
    </xf>
    <xf numFmtId="0" fontId="29" fillId="0" borderId="9" xfId="0" applyFont="1" applyBorder="1" applyAlignment="1" applyProtection="1">
      <alignment horizontal="center" vertical="center"/>
      <protection hidden="1"/>
    </xf>
    <xf numFmtId="0" fontId="29" fillId="0" borderId="9" xfId="0" applyFont="1" applyBorder="1" applyAlignment="1" applyProtection="1">
      <alignment horizontal="center" vertical="center" wrapText="1"/>
      <protection hidden="1"/>
    </xf>
    <xf numFmtId="1" fontId="29" fillId="0" borderId="9" xfId="0" applyNumberFormat="1" applyFont="1" applyBorder="1" applyAlignment="1" applyProtection="1">
      <alignment horizontal="center" vertical="center" wrapText="1"/>
      <protection hidden="1"/>
    </xf>
    <xf numFmtId="0" fontId="6" fillId="10" borderId="13" xfId="0" applyFont="1" applyFill="1" applyBorder="1" applyAlignment="1" applyProtection="1">
      <alignment horizontal="center"/>
      <protection hidden="1"/>
    </xf>
    <xf numFmtId="3" fontId="6" fillId="10" borderId="13" xfId="0" applyNumberFormat="1" applyFont="1" applyFill="1" applyBorder="1" applyProtection="1">
      <protection hidden="1"/>
    </xf>
    <xf numFmtId="0" fontId="6" fillId="0" borderId="13" xfId="0" applyFont="1" applyBorder="1" applyAlignment="1" applyProtection="1">
      <alignment horizontal="center"/>
      <protection hidden="1"/>
    </xf>
    <xf numFmtId="3" fontId="6" fillId="0" borderId="13" xfId="16" applyNumberFormat="1" applyFont="1" applyBorder="1" applyProtection="1">
      <protection hidden="1"/>
    </xf>
    <xf numFmtId="0" fontId="0" fillId="0" borderId="1" xfId="0" applyBorder="1" applyProtection="1">
      <protection hidden="1"/>
    </xf>
    <xf numFmtId="0" fontId="29" fillId="0" borderId="11" xfId="0" applyFont="1" applyBorder="1" applyAlignment="1" applyProtection="1">
      <alignment horizontal="center" vertical="center" wrapText="1"/>
      <protection hidden="1"/>
    </xf>
    <xf numFmtId="0" fontId="0" fillId="0" borderId="11" xfId="0" applyBorder="1" applyProtection="1">
      <protection hidden="1"/>
    </xf>
    <xf numFmtId="0" fontId="29" fillId="0" borderId="10" xfId="0" applyFont="1" applyBorder="1" applyAlignment="1" applyProtection="1">
      <alignment horizontal="center" vertical="center"/>
      <protection hidden="1"/>
    </xf>
    <xf numFmtId="0" fontId="29" fillId="0" borderId="10"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protection hidden="1"/>
    </xf>
    <xf numFmtId="1" fontId="29" fillId="0" borderId="3" xfId="0" applyNumberFormat="1"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0" fontId="52" fillId="0" borderId="1" xfId="0" applyFont="1" applyBorder="1" applyProtection="1">
      <protection hidden="1"/>
    </xf>
    <xf numFmtId="0" fontId="52" fillId="0" borderId="6" xfId="0" applyFont="1" applyBorder="1" applyAlignment="1" applyProtection="1">
      <alignment horizontal="center" vertical="center"/>
      <protection hidden="1"/>
    </xf>
    <xf numFmtId="0" fontId="52" fillId="0" borderId="10" xfId="0" applyFont="1" applyBorder="1" applyAlignment="1" applyProtection="1">
      <alignment horizontal="center" vertical="center" wrapText="1"/>
      <protection hidden="1"/>
    </xf>
    <xf numFmtId="3" fontId="6" fillId="0" borderId="10" xfId="16" applyNumberFormat="1" applyFont="1" applyBorder="1" applyProtection="1">
      <protection hidden="1"/>
    </xf>
    <xf numFmtId="14" fontId="6" fillId="0" borderId="0" xfId="0" applyNumberFormat="1" applyFont="1" applyProtection="1">
      <protection hidden="1"/>
    </xf>
    <xf numFmtId="0" fontId="4" fillId="0" borderId="12" xfId="0" applyFont="1" applyBorder="1" applyProtection="1">
      <protection hidden="1"/>
    </xf>
    <xf numFmtId="0" fontId="52" fillId="0" borderId="12" xfId="0" applyFont="1" applyBorder="1" applyProtection="1">
      <protection hidden="1"/>
    </xf>
    <xf numFmtId="0" fontId="52" fillId="0" borderId="13" xfId="0" applyFont="1" applyBorder="1" applyProtection="1">
      <protection hidden="1"/>
    </xf>
    <xf numFmtId="0" fontId="0" fillId="0" borderId="12" xfId="0" applyBorder="1" applyProtection="1">
      <protection hidden="1"/>
    </xf>
    <xf numFmtId="0" fontId="49" fillId="0" borderId="0" xfId="0" applyFont="1" applyProtection="1">
      <protection hidden="1"/>
    </xf>
    <xf numFmtId="0" fontId="48" fillId="0" borderId="0" xfId="0" applyFont="1" applyProtection="1">
      <protection hidden="1"/>
    </xf>
    <xf numFmtId="0" fontId="51" fillId="0" borderId="0" xfId="0" applyFont="1" applyProtection="1">
      <protection hidden="1"/>
    </xf>
    <xf numFmtId="0" fontId="10" fillId="0" borderId="0" xfId="22" applyProtection="1">
      <protection hidden="1"/>
    </xf>
    <xf numFmtId="1" fontId="10" fillId="0" borderId="0" xfId="22" applyNumberFormat="1" applyProtection="1">
      <protection hidden="1"/>
    </xf>
    <xf numFmtId="0" fontId="17" fillId="0" borderId="0" xfId="22" applyFont="1" applyProtection="1">
      <protection hidden="1"/>
    </xf>
    <xf numFmtId="182" fontId="17" fillId="0" borderId="0" xfId="22" applyNumberFormat="1" applyFont="1" applyAlignment="1" applyProtection="1">
      <alignment horizontal="center"/>
      <protection hidden="1"/>
    </xf>
    <xf numFmtId="0" fontId="17" fillId="0" borderId="0" xfId="22" applyFont="1" applyAlignment="1" applyProtection="1">
      <alignment horizontal="center"/>
      <protection hidden="1"/>
    </xf>
    <xf numFmtId="0" fontId="10" fillId="10" borderId="0" xfId="22" applyFill="1" applyProtection="1">
      <protection hidden="1"/>
    </xf>
    <xf numFmtId="0" fontId="31" fillId="10" borderId="0" xfId="22" applyFont="1" applyFill="1" applyProtection="1">
      <protection hidden="1"/>
    </xf>
    <xf numFmtId="0" fontId="13" fillId="0" borderId="0" xfId="22" applyFont="1" applyProtection="1">
      <protection hidden="1"/>
    </xf>
    <xf numFmtId="17" fontId="17" fillId="0" borderId="0" xfId="22" applyNumberFormat="1" applyFont="1" applyAlignment="1" applyProtection="1">
      <alignment horizontal="center"/>
      <protection hidden="1"/>
    </xf>
    <xf numFmtId="17" fontId="17" fillId="0" borderId="0" xfId="22" applyNumberFormat="1" applyFont="1" applyAlignment="1" applyProtection="1">
      <alignment horizontal="left"/>
      <protection hidden="1"/>
    </xf>
    <xf numFmtId="0" fontId="10" fillId="13" borderId="0" xfId="22" applyFill="1" applyProtection="1">
      <protection hidden="1"/>
    </xf>
    <xf numFmtId="2" fontId="10" fillId="0" borderId="0" xfId="22" applyNumberFormat="1" applyProtection="1">
      <protection hidden="1"/>
    </xf>
    <xf numFmtId="0" fontId="10" fillId="0" borderId="0" xfId="22" applyAlignment="1" applyProtection="1">
      <alignment horizontal="left"/>
      <protection hidden="1"/>
    </xf>
    <xf numFmtId="0" fontId="14" fillId="0" borderId="0" xfId="22" applyFont="1" applyAlignment="1" applyProtection="1">
      <alignment horizontal="center"/>
      <protection hidden="1"/>
    </xf>
    <xf numFmtId="0" fontId="14" fillId="0" borderId="13" xfId="22" applyFont="1" applyBorder="1" applyAlignment="1" applyProtection="1">
      <alignment horizontal="center"/>
      <protection hidden="1"/>
    </xf>
    <xf numFmtId="167" fontId="10" fillId="0" borderId="0" xfId="22" applyNumberFormat="1" applyProtection="1">
      <protection hidden="1"/>
    </xf>
    <xf numFmtId="0" fontId="10" fillId="0" borderId="7" xfId="22" applyBorder="1" applyProtection="1">
      <protection hidden="1"/>
    </xf>
    <xf numFmtId="1" fontId="31" fillId="0" borderId="0" xfId="22" applyNumberFormat="1" applyFont="1" applyAlignment="1" applyProtection="1">
      <alignment horizontal="center" vertical="center"/>
      <protection hidden="1"/>
    </xf>
    <xf numFmtId="1" fontId="10" fillId="0" borderId="7" xfId="22" applyNumberFormat="1" applyBorder="1" applyAlignment="1" applyProtection="1">
      <alignment horizontal="center"/>
      <protection hidden="1"/>
    </xf>
    <xf numFmtId="0" fontId="6" fillId="0" borderId="7" xfId="22" applyFont="1" applyBorder="1" applyAlignment="1" applyProtection="1">
      <alignment vertical="center" wrapText="1"/>
      <protection hidden="1"/>
    </xf>
    <xf numFmtId="0" fontId="10" fillId="0" borderId="9" xfId="22" applyBorder="1" applyProtection="1">
      <protection hidden="1"/>
    </xf>
    <xf numFmtId="0" fontId="10" fillId="0" borderId="9" xfId="22" applyBorder="1" applyAlignment="1" applyProtection="1">
      <alignment horizontal="right"/>
      <protection hidden="1"/>
    </xf>
    <xf numFmtId="1" fontId="10" fillId="0" borderId="9" xfId="22" applyNumberFormat="1" applyBorder="1" applyAlignment="1" applyProtection="1">
      <alignment horizontal="center" vertical="center"/>
      <protection hidden="1"/>
    </xf>
    <xf numFmtId="0" fontId="10" fillId="0" borderId="9" xfId="22" applyBorder="1" applyAlignment="1" applyProtection="1">
      <alignment horizontal="center" vertical="center"/>
      <protection hidden="1"/>
    </xf>
    <xf numFmtId="0" fontId="10" fillId="0" borderId="3" xfId="22" applyBorder="1" applyAlignment="1" applyProtection="1">
      <alignment horizontal="center" vertical="center"/>
      <protection hidden="1"/>
    </xf>
    <xf numFmtId="0" fontId="10" fillId="0" borderId="9" xfId="22" applyBorder="1" applyAlignment="1" applyProtection="1">
      <alignment horizontal="center"/>
      <protection hidden="1"/>
    </xf>
    <xf numFmtId="0" fontId="10" fillId="0" borderId="11" xfId="22" applyBorder="1" applyProtection="1">
      <protection hidden="1"/>
    </xf>
    <xf numFmtId="1" fontId="10" fillId="0" borderId="11" xfId="22" applyNumberFormat="1" applyBorder="1" applyAlignment="1" applyProtection="1">
      <alignment horizontal="center" vertical="center"/>
      <protection hidden="1"/>
    </xf>
    <xf numFmtId="0" fontId="10" fillId="0" borderId="10" xfId="22" applyBorder="1" applyAlignment="1" applyProtection="1">
      <alignment horizontal="centerContinuous"/>
      <protection hidden="1"/>
    </xf>
    <xf numFmtId="0" fontId="10" fillId="0" borderId="11" xfId="22" applyBorder="1" applyAlignment="1" applyProtection="1">
      <alignment horizontal="center" vertical="center"/>
      <protection hidden="1"/>
    </xf>
    <xf numFmtId="0" fontId="10" fillId="0" borderId="5" xfId="22" applyBorder="1" applyAlignment="1" applyProtection="1">
      <alignment horizontal="centerContinuous" vertical="center"/>
      <protection hidden="1"/>
    </xf>
    <xf numFmtId="0" fontId="10" fillId="0" borderId="5" xfId="22" applyBorder="1" applyAlignment="1" applyProtection="1">
      <alignment horizontal="center" vertical="center"/>
      <protection hidden="1"/>
    </xf>
    <xf numFmtId="0" fontId="10" fillId="0" borderId="11" xfId="22" applyBorder="1" applyAlignment="1" applyProtection="1">
      <alignment horizontal="center"/>
      <protection hidden="1"/>
    </xf>
    <xf numFmtId="0" fontId="6" fillId="0" borderId="11" xfId="22" applyFont="1" applyBorder="1" applyProtection="1">
      <protection hidden="1"/>
    </xf>
    <xf numFmtId="0" fontId="10" fillId="0" borderId="11" xfId="22" applyBorder="1" applyAlignment="1" applyProtection="1">
      <alignment horizontal="centerContinuous" vertical="center"/>
      <protection hidden="1"/>
    </xf>
    <xf numFmtId="0" fontId="10" fillId="0" borderId="5" xfId="22" applyBorder="1" applyAlignment="1" applyProtection="1">
      <alignment horizontal="center"/>
      <protection hidden="1"/>
    </xf>
    <xf numFmtId="0" fontId="10" fillId="0" borderId="10" xfId="22" applyBorder="1" applyProtection="1">
      <protection hidden="1"/>
    </xf>
    <xf numFmtId="1" fontId="10" fillId="0" borderId="10" xfId="22" applyNumberFormat="1" applyBorder="1" applyAlignment="1" applyProtection="1">
      <alignment horizontal="center" vertical="center"/>
      <protection hidden="1"/>
    </xf>
    <xf numFmtId="0" fontId="10" fillId="0" borderId="10" xfId="22" applyBorder="1" applyAlignment="1" applyProtection="1">
      <alignment horizontal="center"/>
      <protection hidden="1"/>
    </xf>
    <xf numFmtId="0" fontId="10" fillId="0" borderId="8" xfId="22" applyBorder="1" applyAlignment="1" applyProtection="1">
      <alignment horizontal="center"/>
      <protection hidden="1"/>
    </xf>
    <xf numFmtId="0" fontId="10" fillId="0" borderId="10" xfId="22" applyBorder="1" applyAlignment="1" applyProtection="1">
      <alignment horizontal="centerContinuous" vertical="center"/>
      <protection hidden="1"/>
    </xf>
    <xf numFmtId="0" fontId="10" fillId="0" borderId="8" xfId="22" applyBorder="1" applyAlignment="1" applyProtection="1">
      <alignment horizontal="center" vertical="center"/>
      <protection hidden="1"/>
    </xf>
    <xf numFmtId="0" fontId="10" fillId="0" borderId="10" xfId="22" applyBorder="1" applyAlignment="1" applyProtection="1">
      <alignment horizontal="center" vertical="center"/>
      <protection hidden="1"/>
    </xf>
    <xf numFmtId="4" fontId="6" fillId="0" borderId="11" xfId="22" applyNumberFormat="1" applyFont="1" applyBorder="1" applyAlignment="1" applyProtection="1">
      <alignment horizontal="right" wrapText="1"/>
      <protection hidden="1"/>
    </xf>
    <xf numFmtId="172" fontId="10" fillId="0" borderId="11" xfId="22" applyNumberFormat="1" applyBorder="1" applyAlignment="1" applyProtection="1">
      <alignment horizontal="right"/>
      <protection hidden="1"/>
    </xf>
    <xf numFmtId="173" fontId="6" fillId="0" borderId="11" xfId="22" applyNumberFormat="1" applyFont="1" applyBorder="1" applyAlignment="1" applyProtection="1">
      <alignment horizontal="right"/>
      <protection hidden="1"/>
    </xf>
    <xf numFmtId="177" fontId="10" fillId="0" borderId="11" xfId="22" applyNumberFormat="1" applyBorder="1" applyAlignment="1" applyProtection="1">
      <alignment horizontal="center"/>
      <protection hidden="1"/>
    </xf>
    <xf numFmtId="2" fontId="10" fillId="0" borderId="11" xfId="22" applyNumberFormat="1" applyBorder="1" applyAlignment="1" applyProtection="1">
      <alignment horizontal="center"/>
      <protection hidden="1"/>
    </xf>
    <xf numFmtId="0" fontId="10" fillId="0" borderId="11" xfId="22" applyBorder="1" applyAlignment="1" applyProtection="1">
      <alignment horizontal="left"/>
      <protection hidden="1"/>
    </xf>
    <xf numFmtId="2" fontId="10" fillId="0" borderId="5" xfId="22" applyNumberFormat="1" applyBorder="1" applyAlignment="1" applyProtection="1">
      <alignment horizontal="center"/>
      <protection hidden="1"/>
    </xf>
    <xf numFmtId="4" fontId="10" fillId="0" borderId="11" xfId="22" applyNumberFormat="1" applyBorder="1" applyAlignment="1" applyProtection="1">
      <alignment horizontal="right"/>
      <protection hidden="1"/>
    </xf>
    <xf numFmtId="10" fontId="10" fillId="0" borderId="11" xfId="22" applyNumberFormat="1" applyBorder="1" applyAlignment="1" applyProtection="1">
      <alignment horizontal="center"/>
      <protection hidden="1"/>
    </xf>
    <xf numFmtId="172" fontId="10" fillId="0" borderId="11" xfId="22" applyNumberFormat="1" applyBorder="1" applyAlignment="1" applyProtection="1">
      <alignment horizontal="center"/>
      <protection hidden="1"/>
    </xf>
    <xf numFmtId="0" fontId="10" fillId="0" borderId="13" xfId="22" applyBorder="1" applyAlignment="1" applyProtection="1">
      <alignment horizontal="left" vertical="center"/>
      <protection hidden="1"/>
    </xf>
    <xf numFmtId="0" fontId="10" fillId="0" borderId="13" xfId="22" applyBorder="1" applyAlignment="1" applyProtection="1">
      <alignment horizontal="center" vertical="center"/>
      <protection hidden="1"/>
    </xf>
    <xf numFmtId="1" fontId="10" fillId="0" borderId="13" xfId="22" applyNumberFormat="1" applyBorder="1" applyAlignment="1" applyProtection="1">
      <alignment horizontal="center" vertical="center"/>
      <protection hidden="1"/>
    </xf>
    <xf numFmtId="2" fontId="10" fillId="0" borderId="10" xfId="22" applyNumberFormat="1" applyBorder="1" applyAlignment="1" applyProtection="1">
      <alignment horizontal="center" vertical="center"/>
      <protection hidden="1"/>
    </xf>
    <xf numFmtId="2" fontId="10" fillId="0" borderId="13" xfId="22" applyNumberFormat="1" applyBorder="1" applyAlignment="1" applyProtection="1">
      <alignment horizontal="center" vertical="center"/>
      <protection hidden="1"/>
    </xf>
    <xf numFmtId="2" fontId="10" fillId="0" borderId="14" xfId="22" applyNumberFormat="1" applyBorder="1" applyAlignment="1" applyProtection="1">
      <alignment horizontal="center" vertical="center"/>
      <protection hidden="1"/>
    </xf>
    <xf numFmtId="4" fontId="10" fillId="0" borderId="13" xfId="16" applyNumberFormat="1" applyFont="1" applyBorder="1" applyAlignment="1" applyProtection="1">
      <alignment horizontal="right" vertical="center"/>
      <protection hidden="1"/>
    </xf>
    <xf numFmtId="172" fontId="6" fillId="0" borderId="13" xfId="22" applyNumberFormat="1" applyFont="1" applyBorder="1" applyAlignment="1" applyProtection="1">
      <alignment horizontal="center" vertical="center"/>
      <protection hidden="1"/>
    </xf>
    <xf numFmtId="173" fontId="10" fillId="0" borderId="13" xfId="22" applyNumberFormat="1" applyBorder="1" applyAlignment="1" applyProtection="1">
      <alignment horizontal="right" vertical="center"/>
      <protection hidden="1"/>
    </xf>
    <xf numFmtId="2" fontId="7" fillId="0" borderId="13" xfId="22" applyNumberFormat="1" applyFont="1" applyBorder="1" applyAlignment="1" applyProtection="1">
      <alignment horizontal="center" vertical="center"/>
      <protection hidden="1"/>
    </xf>
    <xf numFmtId="0" fontId="10" fillId="10" borderId="0" xfId="22" applyFill="1" applyAlignment="1" applyProtection="1">
      <alignment horizontal="center" vertical="center"/>
      <protection hidden="1"/>
    </xf>
    <xf numFmtId="0" fontId="31" fillId="10" borderId="0" xfId="22" applyFont="1" applyFill="1" applyAlignment="1" applyProtection="1">
      <alignment horizontal="center" vertical="center"/>
      <protection hidden="1"/>
    </xf>
    <xf numFmtId="0" fontId="10" fillId="13" borderId="0" xfId="22" applyFill="1" applyAlignment="1" applyProtection="1">
      <alignment horizontal="center" vertical="center"/>
      <protection hidden="1"/>
    </xf>
    <xf numFmtId="0" fontId="10" fillId="0" borderId="0" xfId="22" quotePrefix="1" applyProtection="1">
      <protection hidden="1"/>
    </xf>
    <xf numFmtId="0" fontId="10" fillId="0" borderId="12" xfId="22" applyBorder="1" applyProtection="1">
      <protection hidden="1"/>
    </xf>
    <xf numFmtId="0" fontId="10" fillId="0" borderId="19" xfId="22" applyBorder="1" applyProtection="1">
      <protection hidden="1"/>
    </xf>
    <xf numFmtId="0" fontId="6" fillId="0" borderId="1" xfId="22" applyFont="1" applyBorder="1" applyProtection="1">
      <protection hidden="1"/>
    </xf>
    <xf numFmtId="0" fontId="6" fillId="0" borderId="0" xfId="22" applyFont="1" applyProtection="1">
      <protection hidden="1"/>
    </xf>
    <xf numFmtId="0" fontId="7" fillId="0" borderId="25" xfId="22" applyFont="1" applyBorder="1" applyProtection="1">
      <protection hidden="1"/>
    </xf>
    <xf numFmtId="0" fontId="7" fillId="0" borderId="26" xfId="22" applyFont="1" applyBorder="1" applyProtection="1">
      <protection hidden="1"/>
    </xf>
    <xf numFmtId="174" fontId="7" fillId="0" borderId="27" xfId="22" applyNumberFormat="1" applyFont="1" applyBorder="1" applyAlignment="1" applyProtection="1">
      <alignment horizontal="right"/>
      <protection hidden="1"/>
    </xf>
    <xf numFmtId="0" fontId="10" fillId="0" borderId="1" xfId="22" applyBorder="1" applyProtection="1">
      <protection hidden="1"/>
    </xf>
    <xf numFmtId="2" fontId="7" fillId="0" borderId="11" xfId="22" applyNumberFormat="1" applyFont="1" applyBorder="1" applyProtection="1">
      <protection hidden="1"/>
    </xf>
    <xf numFmtId="38" fontId="10" fillId="0" borderId="13" xfId="16" applyNumberFormat="1" applyFont="1" applyBorder="1" applyProtection="1">
      <protection hidden="1"/>
    </xf>
    <xf numFmtId="0" fontId="10" fillId="0" borderId="2" xfId="22" applyBorder="1" applyProtection="1">
      <protection hidden="1"/>
    </xf>
    <xf numFmtId="0" fontId="10" fillId="0" borderId="3" xfId="22" applyBorder="1" applyProtection="1">
      <protection hidden="1"/>
    </xf>
    <xf numFmtId="0" fontId="7" fillId="0" borderId="28" xfId="22" applyFont="1" applyBorder="1" applyProtection="1">
      <protection hidden="1"/>
    </xf>
    <xf numFmtId="0" fontId="7" fillId="0" borderId="29" xfId="22" applyFont="1" applyBorder="1" applyProtection="1">
      <protection hidden="1"/>
    </xf>
    <xf numFmtId="38" fontId="7" fillId="0" borderId="30" xfId="16" applyNumberFormat="1" applyFont="1" applyBorder="1" applyProtection="1">
      <protection hidden="1"/>
    </xf>
    <xf numFmtId="0" fontId="7" fillId="0" borderId="31" xfId="22" applyFont="1" applyBorder="1" applyProtection="1">
      <protection hidden="1"/>
    </xf>
    <xf numFmtId="0" fontId="7" fillId="0" borderId="21" xfId="22" applyFont="1" applyBorder="1" applyProtection="1">
      <protection hidden="1"/>
    </xf>
    <xf numFmtId="0" fontId="7" fillId="0" borderId="15" xfId="22" applyFont="1" applyBorder="1" applyProtection="1">
      <protection hidden="1"/>
    </xf>
    <xf numFmtId="38" fontId="7" fillId="0" borderId="32" xfId="16" applyNumberFormat="1" applyFont="1" applyBorder="1" applyProtection="1">
      <protection hidden="1"/>
    </xf>
    <xf numFmtId="1" fontId="10" fillId="10" borderId="0" xfId="22" applyNumberFormat="1" applyFill="1" applyProtection="1">
      <protection hidden="1"/>
    </xf>
    <xf numFmtId="0" fontId="0" fillId="10" borderId="0" xfId="0" applyFill="1" applyProtection="1">
      <protection hidden="1"/>
    </xf>
    <xf numFmtId="0" fontId="17" fillId="0" borderId="0" xfId="22" applyFont="1" applyAlignment="1" applyProtection="1">
      <alignment horizontal="centerContinuous"/>
      <protection hidden="1"/>
    </xf>
    <xf numFmtId="1" fontId="6" fillId="0" borderId="7" xfId="22" applyNumberFormat="1" applyFont="1" applyBorder="1" applyAlignment="1" applyProtection="1">
      <alignment vertical="center" wrapText="1"/>
      <protection hidden="1"/>
    </xf>
    <xf numFmtId="171" fontId="6" fillId="0" borderId="0" xfId="0" applyNumberFormat="1" applyFont="1" applyProtection="1">
      <protection hidden="1"/>
    </xf>
    <xf numFmtId="170" fontId="6" fillId="0" borderId="2" xfId="0" applyNumberFormat="1" applyFont="1" applyBorder="1" applyProtection="1">
      <protection hidden="1"/>
    </xf>
    <xf numFmtId="170" fontId="6" fillId="0" borderId="4" xfId="0" applyNumberFormat="1" applyFont="1" applyBorder="1" applyProtection="1">
      <protection hidden="1"/>
    </xf>
    <xf numFmtId="170" fontId="6" fillId="0" borderId="12" xfId="0" applyNumberFormat="1" applyFont="1" applyBorder="1" applyAlignment="1" applyProtection="1">
      <alignment horizontal="centerContinuous"/>
      <protection hidden="1"/>
    </xf>
    <xf numFmtId="170" fontId="6" fillId="0" borderId="14" xfId="0" applyNumberFormat="1" applyFont="1" applyBorder="1" applyAlignment="1" applyProtection="1">
      <alignment horizontal="centerContinuous"/>
      <protection hidden="1"/>
    </xf>
    <xf numFmtId="170" fontId="6" fillId="0" borderId="1" xfId="0" applyNumberFormat="1" applyFont="1" applyBorder="1" applyProtection="1">
      <protection hidden="1"/>
    </xf>
    <xf numFmtId="170" fontId="6" fillId="0" borderId="5" xfId="0" applyNumberFormat="1" applyFont="1" applyBorder="1" applyProtection="1">
      <protection hidden="1"/>
    </xf>
    <xf numFmtId="170" fontId="6" fillId="0" borderId="9" xfId="0" applyNumberFormat="1" applyFont="1" applyBorder="1" applyAlignment="1" applyProtection="1">
      <alignment horizontal="center"/>
      <protection hidden="1"/>
    </xf>
    <xf numFmtId="0" fontId="6" fillId="0" borderId="6" xfId="0" applyFont="1" applyBorder="1" applyProtection="1">
      <protection hidden="1"/>
    </xf>
    <xf numFmtId="0" fontId="6" fillId="0" borderId="2" xfId="0" applyFont="1" applyBorder="1" applyAlignment="1" applyProtection="1">
      <alignment horizontal="left"/>
      <protection hidden="1"/>
    </xf>
    <xf numFmtId="0" fontId="6" fillId="0" borderId="1" xfId="0"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0" fontId="6" fillId="0" borderId="5" xfId="0" applyFont="1" applyBorder="1" applyAlignment="1" applyProtection="1">
      <alignment horizontal="left"/>
      <protection hidden="1"/>
    </xf>
    <xf numFmtId="181" fontId="0" fillId="0" borderId="0" xfId="0" applyNumberFormat="1" applyProtection="1">
      <protection hidden="1"/>
    </xf>
    <xf numFmtId="38" fontId="6" fillId="0" borderId="13" xfId="16" applyNumberFormat="1" applyFont="1" applyFill="1" applyBorder="1" applyProtection="1">
      <protection hidden="1"/>
    </xf>
    <xf numFmtId="170" fontId="7" fillId="0" borderId="8" xfId="0" applyNumberFormat="1" applyFont="1" applyBorder="1" applyProtection="1">
      <protection hidden="1"/>
    </xf>
    <xf numFmtId="38" fontId="7" fillId="0" borderId="10" xfId="16" applyNumberFormat="1" applyFont="1" applyBorder="1" applyProtection="1">
      <protection hidden="1"/>
    </xf>
    <xf numFmtId="0" fontId="7" fillId="0" borderId="2" xfId="0" applyFont="1" applyBorder="1" applyProtection="1">
      <protection hidden="1"/>
    </xf>
    <xf numFmtId="0" fontId="6" fillId="0" borderId="3" xfId="0" applyFont="1" applyBorder="1" applyProtection="1">
      <protection hidden="1"/>
    </xf>
    <xf numFmtId="0" fontId="6" fillId="0" borderId="4" xfId="0" applyFont="1" applyBorder="1" applyProtection="1">
      <protection hidden="1"/>
    </xf>
    <xf numFmtId="38" fontId="6" fillId="0" borderId="14" xfId="16" applyNumberFormat="1" applyFont="1" applyFill="1" applyBorder="1" applyProtection="1">
      <protection hidden="1"/>
    </xf>
    <xf numFmtId="0" fontId="7" fillId="0" borderId="6" xfId="0" applyFont="1" applyBorder="1" applyProtection="1">
      <protection hidden="1"/>
    </xf>
    <xf numFmtId="38" fontId="7" fillId="0" borderId="13" xfId="0" applyNumberFormat="1" applyFont="1" applyBorder="1" applyProtection="1">
      <protection hidden="1"/>
    </xf>
    <xf numFmtId="170" fontId="6" fillId="0" borderId="14" xfId="0" applyNumberFormat="1" applyFont="1" applyBorder="1" applyProtection="1">
      <protection hidden="1"/>
    </xf>
    <xf numFmtId="0" fontId="6" fillId="0" borderId="0" xfId="0" applyFont="1" applyAlignment="1" applyProtection="1">
      <alignment horizontal="right"/>
      <protection hidden="1"/>
    </xf>
    <xf numFmtId="170" fontId="15" fillId="0" borderId="1" xfId="0" applyNumberFormat="1" applyFont="1" applyBorder="1" applyAlignment="1" applyProtection="1">
      <alignment horizontal="left"/>
      <protection hidden="1"/>
    </xf>
    <xf numFmtId="0" fontId="6" fillId="0" borderId="2" xfId="0" applyFont="1" applyBorder="1" applyProtection="1">
      <protection hidden="1"/>
    </xf>
    <xf numFmtId="0" fontId="6" fillId="0" borderId="19" xfId="0" applyFont="1" applyBorder="1" applyAlignment="1" applyProtection="1">
      <alignment horizontal="centerContinuous"/>
      <protection hidden="1"/>
    </xf>
    <xf numFmtId="170" fontId="6" fillId="0" borderId="4" xfId="0" applyNumberFormat="1"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170" fontId="6" fillId="0" borderId="14" xfId="0" applyNumberFormat="1"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15" fillId="0" borderId="1" xfId="0" applyFont="1" applyBorder="1" applyProtection="1">
      <protection hidden="1"/>
    </xf>
    <xf numFmtId="0" fontId="15" fillId="0" borderId="0" xfId="0" applyFont="1" applyProtection="1">
      <protection hidden="1"/>
    </xf>
    <xf numFmtId="170" fontId="6" fillId="0" borderId="0" xfId="0" applyNumberFormat="1" applyFont="1" applyAlignment="1" applyProtection="1">
      <alignment horizontal="right"/>
      <protection hidden="1"/>
    </xf>
    <xf numFmtId="2" fontId="6" fillId="0" borderId="11" xfId="0" applyNumberFormat="1" applyFont="1" applyBorder="1" applyProtection="1">
      <protection hidden="1"/>
    </xf>
    <xf numFmtId="170" fontId="15" fillId="0" borderId="14" xfId="0" applyNumberFormat="1" applyFont="1" applyBorder="1" applyAlignment="1" applyProtection="1">
      <alignment horizontal="right"/>
      <protection hidden="1"/>
    </xf>
    <xf numFmtId="38" fontId="7" fillId="0" borderId="13" xfId="16" applyNumberFormat="1" applyFont="1" applyBorder="1" applyProtection="1">
      <protection hidden="1"/>
    </xf>
    <xf numFmtId="2" fontId="7" fillId="0" borderId="13" xfId="0" applyNumberFormat="1" applyFont="1" applyBorder="1" applyProtection="1">
      <protection hidden="1"/>
    </xf>
    <xf numFmtId="170" fontId="15" fillId="0" borderId="0" xfId="0" applyNumberFormat="1" applyFont="1" applyAlignment="1" applyProtection="1">
      <alignment horizontal="right"/>
      <protection hidden="1"/>
    </xf>
    <xf numFmtId="38" fontId="6" fillId="0" borderId="11" xfId="16" applyNumberFormat="1" applyFont="1" applyFill="1" applyBorder="1" applyProtection="1">
      <protection hidden="1"/>
    </xf>
    <xf numFmtId="2" fontId="7" fillId="0" borderId="5" xfId="0" applyNumberFormat="1" applyFont="1" applyBorder="1" applyProtection="1">
      <protection hidden="1"/>
    </xf>
    <xf numFmtId="38" fontId="7" fillId="0" borderId="11" xfId="16" applyNumberFormat="1" applyFont="1" applyBorder="1" applyProtection="1">
      <protection hidden="1"/>
    </xf>
    <xf numFmtId="2" fontId="7" fillId="0" borderId="14" xfId="0" applyNumberFormat="1" applyFont="1" applyBorder="1" applyProtection="1">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170" fontId="15" fillId="0" borderId="4" xfId="0" quotePrefix="1" applyNumberFormat="1" applyFont="1" applyBorder="1" applyAlignment="1" applyProtection="1">
      <alignment horizontal="right"/>
      <protection hidden="1"/>
    </xf>
    <xf numFmtId="38" fontId="6" fillId="0" borderId="9" xfId="16" applyNumberFormat="1" applyFont="1" applyBorder="1" applyProtection="1">
      <protection hidden="1"/>
    </xf>
    <xf numFmtId="2" fontId="6" fillId="0" borderId="4" xfId="0" applyNumberFormat="1" applyFont="1" applyBorder="1" applyProtection="1">
      <protection hidden="1"/>
    </xf>
    <xf numFmtId="0" fontId="7" fillId="0" borderId="7" xfId="0" applyFont="1" applyBorder="1" applyProtection="1">
      <protection hidden="1"/>
    </xf>
    <xf numFmtId="170" fontId="11" fillId="0" borderId="8" xfId="0" applyNumberFormat="1" applyFont="1" applyBorder="1" applyProtection="1">
      <protection hidden="1"/>
    </xf>
    <xf numFmtId="38" fontId="7" fillId="0" borderId="10" xfId="16" applyNumberFormat="1" applyFont="1" applyFill="1" applyBorder="1" applyProtection="1">
      <protection hidden="1"/>
    </xf>
    <xf numFmtId="2" fontId="6" fillId="0" borderId="10" xfId="0" applyNumberFormat="1" applyFont="1" applyBorder="1" applyProtection="1">
      <protection hidden="1"/>
    </xf>
    <xf numFmtId="2" fontId="6" fillId="0" borderId="8" xfId="0" applyNumberFormat="1" applyFont="1" applyBorder="1" applyProtection="1">
      <protection hidden="1"/>
    </xf>
    <xf numFmtId="0" fontId="31" fillId="0" borderId="0" xfId="0" applyFont="1" applyProtection="1">
      <protection hidden="1"/>
    </xf>
    <xf numFmtId="170" fontId="11" fillId="0" borderId="0" xfId="0" applyNumberFormat="1" applyFont="1" applyProtection="1">
      <protection hidden="1"/>
    </xf>
    <xf numFmtId="38" fontId="7" fillId="0" borderId="0" xfId="16" applyNumberFormat="1" applyFont="1" applyFill="1" applyBorder="1" applyProtection="1">
      <protection hidden="1"/>
    </xf>
    <xf numFmtId="2" fontId="6" fillId="0" borderId="0" xfId="0" applyNumberFormat="1" applyFont="1" applyProtection="1">
      <protection hidden="1"/>
    </xf>
    <xf numFmtId="0" fontId="11" fillId="0" borderId="2" xfId="0" applyFont="1" applyBorder="1" applyProtection="1">
      <protection hidden="1"/>
    </xf>
    <xf numFmtId="0" fontId="15" fillId="0" borderId="3" xfId="0" applyFont="1" applyBorder="1" applyProtection="1">
      <protection hidden="1"/>
    </xf>
    <xf numFmtId="0" fontId="6" fillId="0" borderId="3" xfId="0" applyFont="1" applyBorder="1" applyAlignment="1" applyProtection="1">
      <alignment horizontal="right"/>
      <protection hidden="1"/>
    </xf>
    <xf numFmtId="0" fontId="6" fillId="0" borderId="4" xfId="0" applyFont="1" applyBorder="1" applyAlignment="1" applyProtection="1">
      <alignment horizontal="center"/>
      <protection hidden="1"/>
    </xf>
    <xf numFmtId="38" fontId="6" fillId="0" borderId="5" xfId="16" applyNumberFormat="1" applyFont="1" applyBorder="1" applyProtection="1">
      <protection hidden="1"/>
    </xf>
    <xf numFmtId="38" fontId="6" fillId="0" borderId="11" xfId="16" applyNumberFormat="1" applyFont="1" applyBorder="1" applyProtection="1">
      <protection hidden="1"/>
    </xf>
    <xf numFmtId="38" fontId="6" fillId="0" borderId="5" xfId="16" applyNumberFormat="1" applyFont="1" applyBorder="1" applyAlignment="1" applyProtection="1">
      <alignment horizontal="center"/>
      <protection hidden="1"/>
    </xf>
    <xf numFmtId="0" fontId="6" fillId="0" borderId="7" xfId="0" applyFont="1" applyBorder="1" applyAlignment="1" applyProtection="1">
      <alignment horizontal="right"/>
      <protection hidden="1"/>
    </xf>
    <xf numFmtId="170" fontId="7" fillId="0" borderId="7" xfId="0" applyNumberFormat="1" applyFont="1" applyBorder="1" applyAlignment="1" applyProtection="1">
      <alignment horizontal="right"/>
      <protection hidden="1"/>
    </xf>
    <xf numFmtId="0" fontId="31" fillId="0" borderId="1" xfId="0" applyFont="1" applyBorder="1" applyProtection="1">
      <protection hidden="1"/>
    </xf>
    <xf numFmtId="38" fontId="6" fillId="0" borderId="0" xfId="16" applyNumberFormat="1" applyFont="1" applyBorder="1" applyProtection="1">
      <protection hidden="1"/>
    </xf>
    <xf numFmtId="0" fontId="11" fillId="0" borderId="2" xfId="0" applyFont="1" applyBorder="1" applyAlignment="1" applyProtection="1">
      <alignment horizontal="left"/>
      <protection hidden="1"/>
    </xf>
    <xf numFmtId="0" fontId="3" fillId="0" borderId="3" xfId="0" applyFont="1" applyBorder="1" applyAlignment="1" applyProtection="1">
      <alignment horizontal="left"/>
      <protection hidden="1"/>
    </xf>
    <xf numFmtId="38" fontId="6" fillId="0" borderId="12" xfId="16" applyNumberFormat="1" applyFont="1" applyBorder="1" applyAlignment="1" applyProtection="1">
      <alignment horizontal="centerContinuous"/>
      <protection hidden="1"/>
    </xf>
    <xf numFmtId="38" fontId="6" fillId="0" borderId="4" xfId="16" applyNumberFormat="1" applyFont="1" applyBorder="1" applyAlignment="1" applyProtection="1">
      <alignment horizontal="centerContinuous"/>
      <protection hidden="1"/>
    </xf>
    <xf numFmtId="38" fontId="6" fillId="0" borderId="13" xfId="16" applyNumberFormat="1" applyFont="1" applyBorder="1" applyAlignment="1" applyProtection="1">
      <alignment horizontal="center"/>
      <protection hidden="1"/>
    </xf>
    <xf numFmtId="38" fontId="6" fillId="0" borderId="9" xfId="16" applyNumberFormat="1" applyFont="1" applyBorder="1" applyAlignment="1" applyProtection="1">
      <alignment horizontal="right"/>
      <protection hidden="1"/>
    </xf>
    <xf numFmtId="38" fontId="6" fillId="0" borderId="11" xfId="16" applyNumberFormat="1" applyFont="1" applyBorder="1" applyAlignment="1" applyProtection="1">
      <alignment horizontal="right"/>
      <protection hidden="1"/>
    </xf>
    <xf numFmtId="3" fontId="6" fillId="0" borderId="7" xfId="0" applyNumberFormat="1" applyFont="1" applyBorder="1" applyAlignment="1" applyProtection="1">
      <alignment horizontal="center"/>
      <protection hidden="1"/>
    </xf>
    <xf numFmtId="0" fontId="7" fillId="0" borderId="19" xfId="0" applyFont="1" applyBorder="1" applyProtection="1">
      <protection hidden="1"/>
    </xf>
    <xf numFmtId="170" fontId="7" fillId="0" borderId="19" xfId="0" applyNumberFormat="1" applyFont="1" applyBorder="1" applyAlignment="1" applyProtection="1">
      <alignment horizontal="right"/>
      <protection hidden="1"/>
    </xf>
    <xf numFmtId="0" fontId="0" fillId="0" borderId="0" xfId="0" applyAlignment="1" applyProtection="1">
      <alignment horizontal="left"/>
      <protection hidden="1"/>
    </xf>
    <xf numFmtId="3" fontId="6" fillId="0" borderId="0" xfId="0" applyNumberFormat="1" applyFont="1" applyAlignment="1" applyProtection="1">
      <alignment horizontal="center" wrapText="1"/>
      <protection hidden="1"/>
    </xf>
    <xf numFmtId="3" fontId="6" fillId="0" borderId="0" xfId="0" applyNumberFormat="1" applyFont="1" applyAlignment="1" applyProtection="1">
      <alignment horizontal="center"/>
      <protection hidden="1"/>
    </xf>
    <xf numFmtId="3" fontId="6" fillId="0" borderId="0" xfId="0" applyNumberFormat="1" applyFont="1" applyAlignment="1" applyProtection="1">
      <alignment horizontal="right"/>
      <protection hidden="1"/>
    </xf>
    <xf numFmtId="170" fontId="7" fillId="0" borderId="0" xfId="0" applyNumberFormat="1" applyFont="1" applyAlignment="1" applyProtection="1">
      <alignment horizontal="center" vertical="top"/>
      <protection hidden="1"/>
    </xf>
    <xf numFmtId="2" fontId="6" fillId="0" borderId="14" xfId="0" applyNumberFormat="1" applyFont="1" applyBorder="1" applyProtection="1">
      <protection hidden="1"/>
    </xf>
    <xf numFmtId="170" fontId="7" fillId="0" borderId="14" xfId="0" applyNumberFormat="1" applyFont="1" applyBorder="1" applyProtection="1">
      <protection hidden="1"/>
    </xf>
    <xf numFmtId="170" fontId="6" fillId="0" borderId="1" xfId="0" applyNumberFormat="1" applyFont="1" applyBorder="1" applyAlignment="1" applyProtection="1">
      <alignment horizontal="center"/>
      <protection hidden="1"/>
    </xf>
    <xf numFmtId="170" fontId="25" fillId="0" borderId="5" xfId="0" applyNumberFormat="1" applyFont="1" applyBorder="1" applyAlignment="1" applyProtection="1">
      <alignment horizontal="center"/>
      <protection hidden="1"/>
    </xf>
    <xf numFmtId="170" fontId="6" fillId="0" borderId="8" xfId="0" applyNumberFormat="1" applyFont="1" applyBorder="1" applyProtection="1">
      <protection hidden="1"/>
    </xf>
    <xf numFmtId="170" fontId="7" fillId="0" borderId="5" xfId="0" applyNumberFormat="1" applyFont="1" applyBorder="1" applyProtection="1">
      <protection hidden="1"/>
    </xf>
    <xf numFmtId="170" fontId="7" fillId="0" borderId="4" xfId="0" applyNumberFormat="1" applyFont="1" applyBorder="1" applyProtection="1">
      <protection hidden="1"/>
    </xf>
    <xf numFmtId="38" fontId="7" fillId="0" borderId="9" xfId="16" applyNumberFormat="1" applyFont="1" applyFill="1" applyBorder="1" applyProtection="1">
      <protection hidden="1"/>
    </xf>
    <xf numFmtId="2" fontId="7" fillId="0" borderId="9" xfId="0" applyNumberFormat="1" applyFont="1" applyBorder="1" applyProtection="1">
      <protection hidden="1"/>
    </xf>
    <xf numFmtId="170" fontId="7" fillId="0" borderId="19" xfId="0" applyNumberFormat="1" applyFont="1" applyBorder="1" applyProtection="1">
      <protection hidden="1"/>
    </xf>
    <xf numFmtId="38" fontId="7" fillId="0" borderId="19" xfId="16" applyNumberFormat="1" applyFont="1" applyFill="1" applyBorder="1" applyProtection="1">
      <protection hidden="1"/>
    </xf>
    <xf numFmtId="2" fontId="7" fillId="0" borderId="19" xfId="0" applyNumberFormat="1" applyFont="1" applyBorder="1" applyProtection="1">
      <protection hidden="1"/>
    </xf>
    <xf numFmtId="170" fontId="7" fillId="0" borderId="7" xfId="0" applyNumberFormat="1" applyFont="1" applyBorder="1" applyProtection="1">
      <protection hidden="1"/>
    </xf>
    <xf numFmtId="38" fontId="6" fillId="0" borderId="10" xfId="16" applyNumberFormat="1" applyFont="1" applyFill="1" applyBorder="1" applyProtection="1">
      <protection hidden="1"/>
    </xf>
    <xf numFmtId="170" fontId="21" fillId="0" borderId="3" xfId="0" applyNumberFormat="1" applyFont="1" applyBorder="1" applyAlignment="1" applyProtection="1">
      <alignment horizontal="left"/>
      <protection hidden="1"/>
    </xf>
    <xf numFmtId="37" fontId="6" fillId="0" borderId="3" xfId="16" applyNumberFormat="1" applyFont="1" applyBorder="1" applyProtection="1">
      <protection hidden="1"/>
    </xf>
    <xf numFmtId="2" fontId="6" fillId="0" borderId="3" xfId="0" applyNumberFormat="1" applyFont="1" applyBorder="1" applyProtection="1">
      <protection hidden="1"/>
    </xf>
    <xf numFmtId="170" fontId="26" fillId="0" borderId="0" xfId="0" applyNumberFormat="1" applyFont="1" applyAlignment="1" applyProtection="1">
      <alignment horizontal="left"/>
      <protection hidden="1"/>
    </xf>
    <xf numFmtId="0" fontId="6" fillId="10" borderId="2" xfId="0" applyFont="1" applyFill="1" applyBorder="1" applyProtection="1">
      <protection hidden="1"/>
    </xf>
    <xf numFmtId="0" fontId="6" fillId="10" borderId="3" xfId="0" applyFont="1" applyFill="1" applyBorder="1" applyProtection="1">
      <protection hidden="1"/>
    </xf>
    <xf numFmtId="0" fontId="6" fillId="10" borderId="4" xfId="0" applyFont="1" applyFill="1" applyBorder="1" applyProtection="1">
      <protection hidden="1"/>
    </xf>
    <xf numFmtId="0" fontId="28" fillId="10" borderId="1" xfId="0" applyFont="1" applyFill="1" applyBorder="1" applyProtection="1">
      <protection hidden="1"/>
    </xf>
    <xf numFmtId="0" fontId="6" fillId="10" borderId="5" xfId="0" applyFont="1" applyFill="1" applyBorder="1" applyProtection="1">
      <protection hidden="1"/>
    </xf>
    <xf numFmtId="0" fontId="0" fillId="0" borderId="3" xfId="0" applyBorder="1" applyProtection="1">
      <protection hidden="1"/>
    </xf>
    <xf numFmtId="0" fontId="0" fillId="0" borderId="4" xfId="0" applyBorder="1" applyProtection="1">
      <protection hidden="1"/>
    </xf>
    <xf numFmtId="170" fontId="6" fillId="0" borderId="13" xfId="0" applyNumberFormat="1" applyFont="1" applyBorder="1" applyAlignment="1" applyProtection="1">
      <alignment horizontal="centerContinuous"/>
      <protection hidden="1"/>
    </xf>
    <xf numFmtId="0" fontId="7" fillId="10" borderId="1" xfId="0" applyFont="1" applyFill="1" applyBorder="1" applyProtection="1">
      <protection hidden="1"/>
    </xf>
    <xf numFmtId="170" fontId="6" fillId="0" borderId="4" xfId="0" applyNumberFormat="1" applyFont="1" applyBorder="1" applyAlignment="1" applyProtection="1">
      <alignment horizontal="center"/>
      <protection hidden="1"/>
    </xf>
    <xf numFmtId="170" fontId="6" fillId="0" borderId="2" xfId="0" applyNumberFormat="1" applyFont="1" applyBorder="1" applyAlignment="1" applyProtection="1">
      <alignment horizontal="center"/>
      <protection hidden="1"/>
    </xf>
    <xf numFmtId="0" fontId="0" fillId="0" borderId="7" xfId="0" applyBorder="1" applyProtection="1">
      <protection hidden="1"/>
    </xf>
    <xf numFmtId="0" fontId="0" fillId="0" borderId="8" xfId="0" applyBorder="1" applyProtection="1">
      <protection hidden="1"/>
    </xf>
    <xf numFmtId="170" fontId="7" fillId="0" borderId="2" xfId="0" applyNumberFormat="1" applyFont="1" applyBorder="1" applyProtection="1">
      <protection hidden="1"/>
    </xf>
    <xf numFmtId="1" fontId="6" fillId="0" borderId="9" xfId="0" applyNumberFormat="1" applyFont="1" applyBorder="1" applyProtection="1">
      <protection hidden="1"/>
    </xf>
    <xf numFmtId="170" fontId="7" fillId="0" borderId="1" xfId="0" applyNumberFormat="1" applyFont="1" applyBorder="1" applyProtection="1">
      <protection hidden="1"/>
    </xf>
    <xf numFmtId="1" fontId="6" fillId="0" borderId="11" xfId="0" applyNumberFormat="1" applyFont="1" applyBorder="1" applyProtection="1">
      <protection hidden="1"/>
    </xf>
    <xf numFmtId="3" fontId="6" fillId="0" borderId="1" xfId="0" applyNumberFormat="1" applyFont="1" applyBorder="1" applyProtection="1">
      <protection hidden="1"/>
    </xf>
    <xf numFmtId="170" fontId="6" fillId="0" borderId="1" xfId="0" quotePrefix="1" applyNumberFormat="1" applyFont="1" applyBorder="1" applyProtection="1">
      <protection hidden="1"/>
    </xf>
    <xf numFmtId="0" fontId="6" fillId="0" borderId="6" xfId="0" quotePrefix="1" applyFont="1" applyBorder="1" applyProtection="1">
      <protection hidden="1"/>
    </xf>
    <xf numFmtId="1" fontId="6" fillId="0" borderId="10" xfId="0" applyNumberFormat="1" applyFont="1" applyBorder="1" applyProtection="1">
      <protection hidden="1"/>
    </xf>
    <xf numFmtId="170" fontId="7" fillId="0" borderId="2" xfId="0" quotePrefix="1" applyNumberFormat="1" applyFont="1" applyBorder="1" applyProtection="1">
      <protection hidden="1"/>
    </xf>
    <xf numFmtId="38" fontId="7" fillId="0" borderId="9" xfId="16" applyNumberFormat="1" applyFont="1" applyBorder="1" applyProtection="1">
      <protection hidden="1"/>
    </xf>
    <xf numFmtId="1" fontId="7" fillId="0" borderId="9" xfId="0" applyNumberFormat="1" applyFont="1" applyBorder="1" applyProtection="1">
      <protection hidden="1"/>
    </xf>
    <xf numFmtId="1" fontId="7" fillId="0" borderId="11" xfId="0" applyNumberFormat="1" applyFont="1" applyBorder="1" applyProtection="1">
      <protection hidden="1"/>
    </xf>
    <xf numFmtId="0" fontId="17" fillId="0" borderId="23" xfId="0" quotePrefix="1" applyFont="1" applyBorder="1" applyProtection="1">
      <protection hidden="1"/>
    </xf>
    <xf numFmtId="0" fontId="0" fillId="0" borderId="24" xfId="0" applyBorder="1" applyProtection="1">
      <protection hidden="1"/>
    </xf>
    <xf numFmtId="0" fontId="0" fillId="0" borderId="33" xfId="0" applyBorder="1" applyProtection="1">
      <protection hidden="1"/>
    </xf>
    <xf numFmtId="38" fontId="17" fillId="0" borderId="17" xfId="16" applyNumberFormat="1" applyFont="1" applyBorder="1" applyProtection="1">
      <protection hidden="1"/>
    </xf>
    <xf numFmtId="1" fontId="7" fillId="0" borderId="17" xfId="0" applyNumberFormat="1" applyFont="1" applyBorder="1" applyProtection="1">
      <protection hidden="1"/>
    </xf>
    <xf numFmtId="0" fontId="6" fillId="10" borderId="7" xfId="0" applyFont="1" applyFill="1" applyBorder="1" applyProtection="1">
      <protection hidden="1"/>
    </xf>
    <xf numFmtId="0" fontId="6" fillId="10" borderId="8" xfId="0" applyFont="1" applyFill="1" applyBorder="1" applyProtection="1">
      <protection hidden="1"/>
    </xf>
    <xf numFmtId="0" fontId="6" fillId="0" borderId="28" xfId="0" applyFont="1" applyBorder="1" applyProtection="1">
      <protection hidden="1"/>
    </xf>
    <xf numFmtId="0" fontId="6" fillId="0" borderId="29" xfId="0" applyFont="1" applyBorder="1" applyProtection="1">
      <protection hidden="1"/>
    </xf>
    <xf numFmtId="0" fontId="6" fillId="0" borderId="34" xfId="0" applyFont="1" applyBorder="1" applyProtection="1">
      <protection hidden="1"/>
    </xf>
    <xf numFmtId="0" fontId="6" fillId="0" borderId="35" xfId="0" applyFont="1" applyBorder="1" applyProtection="1">
      <protection hidden="1"/>
    </xf>
    <xf numFmtId="0" fontId="6" fillId="0" borderId="36" xfId="0" applyFont="1" applyBorder="1" applyAlignment="1" applyProtection="1">
      <alignment horizontal="center"/>
      <protection hidden="1"/>
    </xf>
    <xf numFmtId="0" fontId="6" fillId="0" borderId="37" xfId="0" applyFont="1" applyBorder="1" applyProtection="1">
      <protection hidden="1"/>
    </xf>
    <xf numFmtId="0" fontId="6"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40" xfId="0" applyFont="1" applyBorder="1" applyAlignment="1" applyProtection="1">
      <alignment horizontal="center"/>
      <protection hidden="1"/>
    </xf>
    <xf numFmtId="0" fontId="6" fillId="0" borderId="41" xfId="0" applyFont="1" applyBorder="1" applyProtection="1">
      <protection hidden="1"/>
    </xf>
    <xf numFmtId="0" fontId="6" fillId="0" borderId="42" xfId="0" applyFont="1" applyBorder="1" applyProtection="1">
      <protection hidden="1"/>
    </xf>
    <xf numFmtId="0" fontId="6" fillId="0" borderId="43" xfId="0" applyFont="1" applyBorder="1" applyProtection="1">
      <protection hidden="1"/>
    </xf>
    <xf numFmtId="38" fontId="6" fillId="0" borderId="44" xfId="16" applyNumberFormat="1" applyFont="1" applyBorder="1" applyProtection="1">
      <protection hidden="1"/>
    </xf>
    <xf numFmtId="0" fontId="6" fillId="0" borderId="45" xfId="0" applyFont="1" applyBorder="1" applyProtection="1">
      <protection hidden="1"/>
    </xf>
    <xf numFmtId="0" fontId="6" fillId="0" borderId="46" xfId="0" applyFont="1" applyBorder="1" applyProtection="1">
      <protection hidden="1"/>
    </xf>
    <xf numFmtId="38" fontId="6" fillId="0" borderId="47" xfId="16" applyNumberFormat="1" applyFont="1" applyBorder="1" applyProtection="1">
      <protection hidden="1"/>
    </xf>
    <xf numFmtId="0" fontId="6" fillId="0" borderId="48" xfId="0" applyFont="1" applyBorder="1" applyProtection="1">
      <protection hidden="1"/>
    </xf>
    <xf numFmtId="0" fontId="6" fillId="0" borderId="49" xfId="0" applyFont="1" applyBorder="1" applyProtection="1">
      <protection hidden="1"/>
    </xf>
    <xf numFmtId="38" fontId="6" fillId="0" borderId="50" xfId="16" applyNumberFormat="1" applyFont="1" applyBorder="1" applyProtection="1">
      <protection hidden="1"/>
    </xf>
    <xf numFmtId="0" fontId="6" fillId="0" borderId="51" xfId="0" applyFont="1" applyBorder="1" applyProtection="1">
      <protection hidden="1"/>
    </xf>
    <xf numFmtId="0" fontId="6" fillId="0" borderId="52" xfId="0" applyFont="1" applyBorder="1" applyProtection="1">
      <protection hidden="1"/>
    </xf>
    <xf numFmtId="0" fontId="6" fillId="0" borderId="53" xfId="0" applyFont="1" applyBorder="1" applyProtection="1">
      <protection hidden="1"/>
    </xf>
    <xf numFmtId="0" fontId="6" fillId="0" borderId="54" xfId="0" applyFont="1" applyBorder="1" applyProtection="1">
      <protection hidden="1"/>
    </xf>
    <xf numFmtId="0" fontId="6" fillId="0" borderId="55" xfId="0" applyFont="1" applyBorder="1" applyProtection="1">
      <protection hidden="1"/>
    </xf>
    <xf numFmtId="0" fontId="6" fillId="0" borderId="56" xfId="0" applyFont="1" applyBorder="1" applyProtection="1">
      <protection hidden="1"/>
    </xf>
    <xf numFmtId="0" fontId="6" fillId="0" borderId="57" xfId="0" applyFont="1" applyBorder="1" applyProtection="1">
      <protection hidden="1"/>
    </xf>
    <xf numFmtId="38" fontId="6" fillId="0" borderId="58" xfId="16" applyNumberFormat="1" applyFont="1" applyBorder="1" applyProtection="1">
      <protection hidden="1"/>
    </xf>
    <xf numFmtId="0" fontId="7" fillId="0" borderId="57" xfId="0" applyFont="1" applyBorder="1" applyProtection="1">
      <protection hidden="1"/>
    </xf>
    <xf numFmtId="0" fontId="7" fillId="0" borderId="53" xfId="0" applyFont="1" applyBorder="1" applyProtection="1">
      <protection hidden="1"/>
    </xf>
    <xf numFmtId="0" fontId="7" fillId="0" borderId="54" xfId="0" applyFont="1" applyBorder="1" applyProtection="1">
      <protection hidden="1"/>
    </xf>
    <xf numFmtId="38" fontId="6" fillId="0" borderId="59" xfId="16" applyNumberFormat="1" applyFont="1" applyBorder="1" applyProtection="1">
      <protection hidden="1"/>
    </xf>
    <xf numFmtId="0" fontId="7" fillId="0" borderId="60" xfId="0" applyFont="1" applyBorder="1" applyProtection="1">
      <protection hidden="1"/>
    </xf>
    <xf numFmtId="0" fontId="7" fillId="0" borderId="61" xfId="0" applyFont="1" applyBorder="1" applyProtection="1">
      <protection hidden="1"/>
    </xf>
    <xf numFmtId="38" fontId="7" fillId="0" borderId="62" xfId="16" applyNumberFormat="1" applyFont="1" applyBorder="1" applyProtection="1">
      <protection hidden="1"/>
    </xf>
    <xf numFmtId="0" fontId="6" fillId="0" borderId="63" xfId="0" applyFont="1" applyBorder="1" applyProtection="1">
      <protection hidden="1"/>
    </xf>
    <xf numFmtId="0" fontId="6" fillId="0" borderId="64" xfId="0" applyFont="1" applyBorder="1" applyProtection="1">
      <protection hidden="1"/>
    </xf>
    <xf numFmtId="3" fontId="7" fillId="0" borderId="65" xfId="0" applyNumberFormat="1" applyFont="1" applyBorder="1" applyProtection="1">
      <protection hidden="1"/>
    </xf>
    <xf numFmtId="0" fontId="7" fillId="0" borderId="66" xfId="0" applyFont="1" applyBorder="1" applyProtection="1">
      <protection hidden="1"/>
    </xf>
    <xf numFmtId="0" fontId="6" fillId="0" borderId="67" xfId="0" applyFont="1" applyBorder="1" applyProtection="1">
      <protection hidden="1"/>
    </xf>
    <xf numFmtId="0" fontId="6" fillId="0" borderId="68" xfId="0" applyFont="1" applyBorder="1" applyProtection="1">
      <protection hidden="1"/>
    </xf>
    <xf numFmtId="38" fontId="6" fillId="0" borderId="0" xfId="16" applyNumberFormat="1" applyFont="1" applyFill="1" applyBorder="1" applyProtection="1">
      <protection hidden="1"/>
    </xf>
    <xf numFmtId="0" fontId="17" fillId="0" borderId="69" xfId="0" applyFont="1" applyBorder="1" applyProtection="1">
      <protection hidden="1"/>
    </xf>
    <xf numFmtId="0" fontId="6" fillId="0" borderId="36" xfId="0" applyFont="1" applyBorder="1" applyProtection="1">
      <protection hidden="1"/>
    </xf>
    <xf numFmtId="38" fontId="6" fillId="0" borderId="70" xfId="16" applyNumberFormat="1" applyFont="1" applyBorder="1" applyAlignment="1" applyProtection="1">
      <alignment horizontal="center"/>
      <protection hidden="1"/>
    </xf>
    <xf numFmtId="38" fontId="6" fillId="0" borderId="0" xfId="16" applyNumberFormat="1" applyFont="1" applyFill="1" applyBorder="1" applyAlignment="1" applyProtection="1">
      <alignment horizontal="center"/>
      <protection hidden="1"/>
    </xf>
    <xf numFmtId="38" fontId="7" fillId="0" borderId="44" xfId="16" applyNumberFormat="1" applyFont="1" applyBorder="1" applyProtection="1">
      <protection hidden="1"/>
    </xf>
    <xf numFmtId="0" fontId="6" fillId="0" borderId="71" xfId="0" applyFont="1" applyBorder="1" applyProtection="1">
      <protection hidden="1"/>
    </xf>
    <xf numFmtId="38" fontId="6" fillId="0" borderId="72" xfId="16" applyNumberFormat="1" applyFont="1" applyBorder="1" applyProtection="1">
      <protection hidden="1"/>
    </xf>
    <xf numFmtId="38" fontId="31" fillId="0" borderId="0" xfId="16" applyNumberFormat="1" applyFont="1" applyFill="1" applyBorder="1" applyProtection="1">
      <protection hidden="1"/>
    </xf>
    <xf numFmtId="9" fontId="6" fillId="0" borderId="0" xfId="17" applyFont="1" applyBorder="1" applyProtection="1">
      <protection hidden="1"/>
    </xf>
    <xf numFmtId="0" fontId="7" fillId="0" borderId="71" xfId="0" applyFont="1" applyBorder="1" applyProtection="1">
      <protection hidden="1"/>
    </xf>
    <xf numFmtId="38" fontId="7" fillId="0" borderId="72" xfId="16" applyNumberFormat="1" applyFont="1" applyBorder="1" applyProtection="1">
      <protection hidden="1"/>
    </xf>
    <xf numFmtId="0" fontId="6" fillId="0" borderId="72" xfId="0" applyFont="1" applyBorder="1" applyProtection="1">
      <protection hidden="1"/>
    </xf>
    <xf numFmtId="9" fontId="6" fillId="0" borderId="0" xfId="0" applyNumberFormat="1" applyFont="1" applyProtection="1">
      <protection hidden="1"/>
    </xf>
    <xf numFmtId="38" fontId="7" fillId="0" borderId="72" xfId="0" applyNumberFormat="1" applyFont="1" applyBorder="1" applyProtection="1">
      <protection hidden="1"/>
    </xf>
    <xf numFmtId="38" fontId="7" fillId="0" borderId="0" xfId="0" applyNumberFormat="1" applyFont="1" applyProtection="1">
      <protection hidden="1"/>
    </xf>
    <xf numFmtId="0" fontId="17" fillId="0" borderId="71" xfId="0" applyFont="1" applyBorder="1" applyProtection="1">
      <protection hidden="1"/>
    </xf>
    <xf numFmtId="0" fontId="17" fillId="0" borderId="19" xfId="0" applyFont="1" applyBorder="1" applyProtection="1">
      <protection hidden="1"/>
    </xf>
    <xf numFmtId="38" fontId="17" fillId="0" borderId="73" xfId="0" applyNumberFormat="1" applyFont="1" applyBorder="1" applyProtection="1">
      <protection hidden="1"/>
    </xf>
    <xf numFmtId="38" fontId="17" fillId="0" borderId="0" xfId="0" applyNumberFormat="1" applyFont="1" applyProtection="1">
      <protection hidden="1"/>
    </xf>
    <xf numFmtId="0" fontId="6" fillId="0" borderId="31" xfId="0" applyFont="1" applyBorder="1" applyProtection="1">
      <protection hidden="1"/>
    </xf>
    <xf numFmtId="0" fontId="6" fillId="0" borderId="21" xfId="0" applyFont="1" applyBorder="1" applyProtection="1">
      <protection hidden="1"/>
    </xf>
    <xf numFmtId="0" fontId="6" fillId="0" borderId="44" xfId="0" applyFont="1" applyBorder="1" applyProtection="1">
      <protection hidden="1"/>
    </xf>
    <xf numFmtId="0" fontId="28" fillId="0" borderId="0" xfId="0" applyFont="1" applyProtection="1">
      <protection hidden="1"/>
    </xf>
    <xf numFmtId="0" fontId="6" fillId="0" borderId="74" xfId="0" applyFont="1" applyBorder="1" applyProtection="1">
      <protection hidden="1"/>
    </xf>
    <xf numFmtId="0" fontId="6" fillId="0" borderId="73" xfId="0" applyFont="1" applyBorder="1" applyProtection="1">
      <protection hidden="1"/>
    </xf>
    <xf numFmtId="0" fontId="6" fillId="0" borderId="69" xfId="0" applyFont="1" applyBorder="1" applyAlignment="1" applyProtection="1">
      <alignment vertical="top"/>
      <protection hidden="1"/>
    </xf>
    <xf numFmtId="0" fontId="6" fillId="0" borderId="36" xfId="0" applyFont="1" applyBorder="1" applyAlignment="1" applyProtection="1">
      <alignment vertical="top"/>
      <protection hidden="1"/>
    </xf>
    <xf numFmtId="38" fontId="6" fillId="0" borderId="36" xfId="16" applyNumberFormat="1" applyFont="1" applyBorder="1" applyAlignment="1" applyProtection="1">
      <alignment vertical="top"/>
      <protection hidden="1"/>
    </xf>
    <xf numFmtId="0" fontId="6" fillId="0" borderId="70" xfId="0" applyFont="1" applyBorder="1" applyAlignment="1" applyProtection="1">
      <alignment vertical="top"/>
      <protection hidden="1"/>
    </xf>
    <xf numFmtId="0" fontId="6" fillId="0" borderId="0" xfId="0" applyFont="1" applyAlignment="1" applyProtection="1">
      <alignment wrapText="1"/>
      <protection hidden="1"/>
    </xf>
    <xf numFmtId="0" fontId="6" fillId="0" borderId="12" xfId="0" applyFont="1" applyBorder="1" applyAlignment="1" applyProtection="1">
      <alignment horizontal="center" wrapText="1"/>
      <protection hidden="1"/>
    </xf>
    <xf numFmtId="9" fontId="6" fillId="0" borderId="13" xfId="0" applyNumberFormat="1" applyFont="1" applyBorder="1" applyAlignment="1" applyProtection="1">
      <alignment horizontal="center"/>
      <protection hidden="1"/>
    </xf>
    <xf numFmtId="0" fontId="17" fillId="0" borderId="35" xfId="0" applyFont="1" applyBorder="1" applyProtection="1">
      <protection hidden="1"/>
    </xf>
    <xf numFmtId="3" fontId="17" fillId="0" borderId="0" xfId="0" applyNumberFormat="1" applyFont="1" applyProtection="1">
      <protection hidden="1"/>
    </xf>
    <xf numFmtId="0" fontId="17" fillId="0" borderId="44" xfId="0" applyFont="1" applyBorder="1" applyProtection="1">
      <protection hidden="1"/>
    </xf>
    <xf numFmtId="0" fontId="17" fillId="0" borderId="36" xfId="0" applyFont="1" applyBorder="1" applyProtection="1">
      <protection hidden="1"/>
    </xf>
    <xf numFmtId="38" fontId="17" fillId="0" borderId="36" xfId="16" applyNumberFormat="1" applyFont="1" applyBorder="1" applyProtection="1">
      <protection hidden="1"/>
    </xf>
    <xf numFmtId="0" fontId="6" fillId="0" borderId="70" xfId="0" applyFont="1" applyBorder="1" applyProtection="1">
      <protection hidden="1"/>
    </xf>
    <xf numFmtId="2" fontId="6" fillId="0" borderId="7" xfId="0" applyNumberFormat="1" applyFont="1" applyBorder="1" applyProtection="1">
      <protection hidden="1"/>
    </xf>
    <xf numFmtId="0" fontId="17" fillId="0" borderId="31" xfId="0" applyFont="1" applyBorder="1" applyProtection="1">
      <protection hidden="1"/>
    </xf>
    <xf numFmtId="0" fontId="17" fillId="0" borderId="21" xfId="0" applyFont="1" applyBorder="1" applyProtection="1">
      <protection hidden="1"/>
    </xf>
    <xf numFmtId="166" fontId="17" fillId="0" borderId="21" xfId="0" applyNumberFormat="1" applyFont="1" applyBorder="1" applyProtection="1">
      <protection hidden="1"/>
    </xf>
    <xf numFmtId="0" fontId="6" fillId="0" borderId="66" xfId="0" applyFont="1" applyBorder="1" applyProtection="1">
      <protection hidden="1"/>
    </xf>
    <xf numFmtId="0" fontId="6" fillId="0" borderId="10" xfId="0" applyFont="1" applyBorder="1" applyAlignment="1" applyProtection="1">
      <alignment horizontal="center" vertical="top" wrapText="1"/>
      <protection hidden="1"/>
    </xf>
    <xf numFmtId="0" fontId="31" fillId="0" borderId="5" xfId="0" applyFont="1" applyBorder="1" applyProtection="1">
      <protection hidden="1"/>
    </xf>
    <xf numFmtId="0" fontId="6" fillId="0" borderId="75" xfId="0" applyFont="1" applyBorder="1" applyProtection="1">
      <protection hidden="1"/>
    </xf>
    <xf numFmtId="38" fontId="6" fillId="0" borderId="75" xfId="16" applyNumberFormat="1" applyFont="1" applyBorder="1" applyProtection="1">
      <protection hidden="1"/>
    </xf>
    <xf numFmtId="0" fontId="17" fillId="0" borderId="76" xfId="0" applyFont="1" applyBorder="1" applyAlignment="1" applyProtection="1">
      <alignment horizontal="left"/>
      <protection hidden="1"/>
    </xf>
    <xf numFmtId="0" fontId="17" fillId="0" borderId="77" xfId="0" applyFont="1" applyBorder="1" applyProtection="1">
      <protection hidden="1"/>
    </xf>
    <xf numFmtId="0" fontId="17" fillId="0" borderId="68" xfId="0" applyFont="1" applyBorder="1" applyProtection="1">
      <protection hidden="1"/>
    </xf>
    <xf numFmtId="179" fontId="17" fillId="0" borderId="78" xfId="0" applyNumberFormat="1" applyFont="1" applyBorder="1" applyProtection="1">
      <protection hidden="1"/>
    </xf>
    <xf numFmtId="0" fontId="17" fillId="0" borderId="6" xfId="0" applyFont="1" applyBorder="1" applyAlignment="1" applyProtection="1">
      <alignment horizontal="left"/>
      <protection hidden="1"/>
    </xf>
    <xf numFmtId="0" fontId="17" fillId="0" borderId="7" xfId="0" applyFont="1" applyBorder="1" applyProtection="1">
      <protection hidden="1"/>
    </xf>
    <xf numFmtId="38" fontId="17" fillId="0" borderId="8" xfId="0" applyNumberFormat="1" applyFont="1" applyBorder="1" applyProtection="1">
      <protection hidden="1"/>
    </xf>
    <xf numFmtId="0" fontId="17" fillId="0" borderId="12" xfId="0" applyFont="1" applyBorder="1" applyProtection="1">
      <protection hidden="1"/>
    </xf>
    <xf numFmtId="0" fontId="17" fillId="0" borderId="13" xfId="0" applyFont="1" applyBorder="1" applyProtection="1">
      <protection hidden="1"/>
    </xf>
    <xf numFmtId="0" fontId="14" fillId="0" borderId="6" xfId="0" applyFont="1" applyBorder="1" applyProtection="1">
      <protection hidden="1"/>
    </xf>
    <xf numFmtId="0" fontId="14" fillId="0" borderId="8" xfId="0" applyFont="1" applyBorder="1" applyProtection="1">
      <protection hidden="1"/>
    </xf>
    <xf numFmtId="0" fontId="63" fillId="0" borderId="0" xfId="0" applyFont="1" applyProtection="1">
      <protection hidden="1"/>
    </xf>
    <xf numFmtId="0" fontId="7" fillId="13" borderId="12" xfId="17" applyNumberFormat="1" applyFont="1" applyFill="1" applyBorder="1" applyAlignment="1" applyProtection="1">
      <alignment horizontal="center"/>
      <protection hidden="1"/>
    </xf>
    <xf numFmtId="170" fontId="6" fillId="0" borderId="19" xfId="0" applyNumberFormat="1" applyFont="1" applyBorder="1" applyProtection="1">
      <protection hidden="1"/>
    </xf>
    <xf numFmtId="38" fontId="6" fillId="0" borderId="12" xfId="16" applyNumberFormat="1" applyFont="1" applyFill="1" applyBorder="1" applyProtection="1">
      <protection hidden="1"/>
    </xf>
    <xf numFmtId="2" fontId="6" fillId="13" borderId="10" xfId="0" applyNumberFormat="1" applyFont="1" applyFill="1" applyBorder="1" applyAlignment="1" applyProtection="1">
      <alignment horizontal="center"/>
      <protection hidden="1"/>
    </xf>
    <xf numFmtId="2" fontId="6" fillId="13" borderId="13" xfId="0" applyNumberFormat="1" applyFont="1" applyFill="1" applyBorder="1" applyAlignment="1" applyProtection="1">
      <alignment horizontal="center"/>
      <protection hidden="1"/>
    </xf>
    <xf numFmtId="170" fontId="7" fillId="13" borderId="14" xfId="0" applyNumberFormat="1" applyFont="1" applyFill="1" applyBorder="1" applyAlignment="1" applyProtection="1">
      <alignment horizontal="right"/>
      <protection hidden="1"/>
    </xf>
    <xf numFmtId="38" fontId="7" fillId="13" borderId="9" xfId="16" applyNumberFormat="1" applyFont="1" applyFill="1" applyBorder="1" applyAlignment="1" applyProtection="1">
      <alignment horizontal="right"/>
      <protection hidden="1"/>
    </xf>
    <xf numFmtId="2" fontId="7" fillId="0" borderId="4" xfId="0" applyNumberFormat="1" applyFont="1" applyBorder="1" applyAlignment="1" applyProtection="1">
      <alignment horizontal="center"/>
      <protection hidden="1"/>
    </xf>
    <xf numFmtId="0" fontId="7" fillId="0" borderId="12" xfId="0" applyFont="1" applyBorder="1" applyProtection="1">
      <protection hidden="1"/>
    </xf>
    <xf numFmtId="170" fontId="43" fillId="13" borderId="0" xfId="0" applyNumberFormat="1" applyFont="1" applyFill="1" applyAlignment="1" applyProtection="1">
      <alignment horizontal="right"/>
      <protection hidden="1"/>
    </xf>
    <xf numFmtId="2" fontId="6" fillId="13" borderId="9" xfId="0" applyNumberFormat="1" applyFont="1" applyFill="1" applyBorder="1" applyAlignment="1" applyProtection="1">
      <alignment horizontal="center"/>
      <protection hidden="1"/>
    </xf>
    <xf numFmtId="38" fontId="6" fillId="13" borderId="13" xfId="16" applyNumberFormat="1" applyFont="1" applyFill="1" applyBorder="1" applyAlignment="1" applyProtection="1">
      <alignment horizontal="right"/>
      <protection hidden="1"/>
    </xf>
    <xf numFmtId="170" fontId="7" fillId="0" borderId="6" xfId="0" applyNumberFormat="1" applyFont="1" applyBorder="1" applyAlignment="1" applyProtection="1">
      <alignment horizontal="left"/>
      <protection hidden="1"/>
    </xf>
    <xf numFmtId="170" fontId="6" fillId="13" borderId="8" xfId="0" applyNumberFormat="1" applyFont="1" applyFill="1" applyBorder="1" applyAlignment="1" applyProtection="1">
      <alignment horizontal="right"/>
      <protection hidden="1"/>
    </xf>
    <xf numFmtId="38" fontId="7" fillId="13" borderId="10" xfId="16" applyNumberFormat="1" applyFont="1" applyFill="1" applyBorder="1" applyAlignment="1" applyProtection="1">
      <alignment horizontal="right"/>
      <protection hidden="1"/>
    </xf>
    <xf numFmtId="2" fontId="6" fillId="13" borderId="11" xfId="0" applyNumberFormat="1" applyFont="1" applyFill="1" applyBorder="1" applyAlignment="1" applyProtection="1">
      <alignment horizontal="center"/>
      <protection hidden="1"/>
    </xf>
    <xf numFmtId="38" fontId="7" fillId="0" borderId="2" xfId="16" applyNumberFormat="1" applyFont="1" applyBorder="1" applyProtection="1">
      <protection hidden="1"/>
    </xf>
    <xf numFmtId="2" fontId="6" fillId="13" borderId="4" xfId="0" applyNumberFormat="1" applyFont="1" applyFill="1" applyBorder="1" applyAlignment="1" applyProtection="1">
      <alignment horizontal="center"/>
      <protection hidden="1"/>
    </xf>
    <xf numFmtId="2" fontId="6" fillId="13" borderId="5" xfId="0" applyNumberFormat="1" applyFont="1" applyFill="1" applyBorder="1" applyAlignment="1" applyProtection="1">
      <alignment horizontal="center"/>
      <protection hidden="1"/>
    </xf>
    <xf numFmtId="38" fontId="6" fillId="0" borderId="9" xfId="0" applyNumberFormat="1" applyFont="1" applyBorder="1" applyProtection="1">
      <protection hidden="1"/>
    </xf>
    <xf numFmtId="38" fontId="6" fillId="0" borderId="11" xfId="0" applyNumberFormat="1" applyFont="1" applyBorder="1" applyProtection="1">
      <protection hidden="1"/>
    </xf>
    <xf numFmtId="38" fontId="6" fillId="0" borderId="10" xfId="0" applyNumberFormat="1" applyFont="1" applyBorder="1" applyProtection="1">
      <protection hidden="1"/>
    </xf>
    <xf numFmtId="38" fontId="7" fillId="0" borderId="12" xfId="16" applyNumberFormat="1" applyFont="1" applyBorder="1" applyProtection="1">
      <protection hidden="1"/>
    </xf>
    <xf numFmtId="38" fontId="7" fillId="0" borderId="19" xfId="16" applyNumberFormat="1" applyFont="1" applyBorder="1" applyProtection="1">
      <protection hidden="1"/>
    </xf>
    <xf numFmtId="38" fontId="7" fillId="0" borderId="14" xfId="16" applyNumberFormat="1" applyFont="1" applyBorder="1" applyProtection="1">
      <protection hidden="1"/>
    </xf>
    <xf numFmtId="0" fontId="28" fillId="0" borderId="6" xfId="0" applyFont="1" applyBorder="1" applyProtection="1">
      <protection hidden="1"/>
    </xf>
    <xf numFmtId="0" fontId="28" fillId="0" borderId="7" xfId="0" applyFont="1" applyBorder="1" applyProtection="1">
      <protection hidden="1"/>
    </xf>
    <xf numFmtId="38" fontId="28" fillId="0" borderId="13" xfId="0" applyNumberFormat="1" applyFont="1" applyBorder="1" applyProtection="1">
      <protection hidden="1"/>
    </xf>
    <xf numFmtId="0" fontId="6" fillId="0" borderId="79" xfId="0" applyFont="1" applyBorder="1" applyProtection="1">
      <protection hidden="1"/>
    </xf>
    <xf numFmtId="0" fontId="6" fillId="0" borderId="38" xfId="0" applyFont="1" applyBorder="1" applyProtection="1">
      <protection hidden="1"/>
    </xf>
    <xf numFmtId="0" fontId="6" fillId="0" borderId="80" xfId="0" applyFont="1" applyBorder="1" applyAlignment="1" applyProtection="1">
      <alignment horizontal="center"/>
      <protection hidden="1"/>
    </xf>
    <xf numFmtId="0" fontId="6" fillId="0" borderId="81" xfId="0" applyFont="1" applyBorder="1" applyAlignment="1" applyProtection="1">
      <alignment horizontal="center"/>
      <protection hidden="1"/>
    </xf>
    <xf numFmtId="0" fontId="6" fillId="0" borderId="76" xfId="0" applyFont="1" applyBorder="1" applyProtection="1">
      <protection hidden="1"/>
    </xf>
    <xf numFmtId="0" fontId="6" fillId="0" borderId="77" xfId="0" applyFont="1" applyBorder="1" applyProtection="1">
      <protection hidden="1"/>
    </xf>
    <xf numFmtId="0" fontId="6" fillId="0" borderId="82" xfId="0" applyFont="1" applyBorder="1" applyProtection="1">
      <protection hidden="1"/>
    </xf>
    <xf numFmtId="0" fontId="6" fillId="0" borderId="83" xfId="0" applyFont="1" applyBorder="1" applyProtection="1">
      <protection hidden="1"/>
    </xf>
    <xf numFmtId="0" fontId="6" fillId="0" borderId="84" xfId="0" applyFont="1" applyBorder="1" applyProtection="1">
      <protection hidden="1"/>
    </xf>
    <xf numFmtId="0" fontId="6" fillId="0" borderId="85" xfId="0" applyFont="1" applyBorder="1" applyProtection="1">
      <protection hidden="1"/>
    </xf>
    <xf numFmtId="0" fontId="6" fillId="0" borderId="86" xfId="0" applyFont="1" applyBorder="1" applyProtection="1">
      <protection hidden="1"/>
    </xf>
    <xf numFmtId="0" fontId="7" fillId="0" borderId="87" xfId="0" applyFont="1" applyBorder="1" applyProtection="1">
      <protection hidden="1"/>
    </xf>
    <xf numFmtId="0" fontId="7" fillId="0" borderId="13" xfId="0" applyFont="1" applyBorder="1" applyProtection="1">
      <protection hidden="1"/>
    </xf>
    <xf numFmtId="0" fontId="7" fillId="0" borderId="46" xfId="0" applyFont="1" applyBorder="1" applyProtection="1">
      <protection hidden="1"/>
    </xf>
    <xf numFmtId="0" fontId="6" fillId="0" borderId="88" xfId="0" applyFont="1" applyBorder="1" applyProtection="1">
      <protection hidden="1"/>
    </xf>
    <xf numFmtId="38" fontId="28" fillId="0" borderId="42" xfId="16" applyNumberFormat="1" applyFont="1" applyBorder="1" applyProtection="1">
      <protection hidden="1"/>
    </xf>
    <xf numFmtId="38" fontId="6" fillId="0" borderId="19" xfId="0" applyNumberFormat="1" applyFont="1" applyBorder="1" applyAlignment="1" applyProtection="1">
      <alignment horizontal="center"/>
      <protection hidden="1"/>
    </xf>
    <xf numFmtId="38" fontId="6" fillId="0" borderId="7" xfId="0" applyNumberFormat="1" applyFont="1" applyBorder="1" applyAlignment="1" applyProtection="1">
      <alignment horizontal="center"/>
      <protection hidden="1"/>
    </xf>
    <xf numFmtId="0" fontId="16" fillId="0" borderId="0" xfId="0" applyFont="1" applyProtection="1">
      <protection hidden="1"/>
    </xf>
    <xf numFmtId="0" fontId="20" fillId="0" borderId="0" xfId="20" applyFont="1" applyAlignment="1" applyProtection="1">
      <alignment horizontal="center" vertical="center"/>
      <protection hidden="1"/>
    </xf>
    <xf numFmtId="0" fontId="20" fillId="0" borderId="0" xfId="20" applyFont="1" applyProtection="1">
      <protection hidden="1"/>
    </xf>
    <xf numFmtId="0" fontId="14" fillId="0" borderId="0" xfId="20" applyFont="1" applyProtection="1">
      <protection hidden="1"/>
    </xf>
    <xf numFmtId="17" fontId="16" fillId="0" borderId="0" xfId="20" applyNumberFormat="1" applyFont="1" applyAlignment="1" applyProtection="1">
      <alignment horizontal="center"/>
      <protection hidden="1"/>
    </xf>
    <xf numFmtId="0" fontId="16" fillId="0" borderId="0" xfId="20" applyFont="1" applyAlignment="1" applyProtection="1">
      <alignment horizontal="center"/>
      <protection hidden="1"/>
    </xf>
    <xf numFmtId="0" fontId="17" fillId="0" borderId="0" xfId="20" applyFont="1" applyProtection="1">
      <protection hidden="1"/>
    </xf>
    <xf numFmtId="0" fontId="17" fillId="0" borderId="0" xfId="20" applyFont="1" applyAlignment="1" applyProtection="1">
      <alignment horizontal="center" vertical="center"/>
      <protection hidden="1"/>
    </xf>
    <xf numFmtId="0" fontId="17" fillId="0" borderId="0" xfId="20" applyFont="1" applyAlignment="1" applyProtection="1">
      <alignment horizontal="left" vertical="center"/>
      <protection hidden="1"/>
    </xf>
    <xf numFmtId="0" fontId="14" fillId="0" borderId="3" xfId="20" applyFont="1" applyBorder="1" applyProtection="1">
      <protection hidden="1"/>
    </xf>
    <xf numFmtId="9" fontId="14" fillId="0" borderId="3" xfId="17" quotePrefix="1" applyFont="1" applyFill="1" applyBorder="1" applyAlignment="1" applyProtection="1">
      <alignment horizontal="center"/>
      <protection hidden="1"/>
    </xf>
    <xf numFmtId="0" fontId="14" fillId="0" borderId="4" xfId="20" applyFont="1" applyBorder="1" applyProtection="1">
      <protection hidden="1"/>
    </xf>
    <xf numFmtId="9" fontId="14" fillId="0" borderId="0" xfId="17" quotePrefix="1" applyFont="1" applyFill="1" applyBorder="1" applyAlignment="1" applyProtection="1">
      <alignment horizontal="center"/>
      <protection hidden="1"/>
    </xf>
    <xf numFmtId="0" fontId="14" fillId="0" borderId="5" xfId="20" applyFont="1" applyBorder="1" applyProtection="1">
      <protection hidden="1"/>
    </xf>
    <xf numFmtId="9" fontId="17" fillId="0" borderId="3" xfId="17" quotePrefix="1" applyFont="1" applyFill="1" applyBorder="1" applyAlignment="1" applyProtection="1">
      <alignment horizontal="right"/>
      <protection hidden="1"/>
    </xf>
    <xf numFmtId="0" fontId="14" fillId="0" borderId="7" xfId="20" applyFont="1" applyBorder="1" applyProtection="1">
      <protection hidden="1"/>
    </xf>
    <xf numFmtId="9" fontId="14" fillId="0" borderId="7" xfId="17" quotePrefix="1" applyFont="1" applyFill="1" applyBorder="1" applyAlignment="1" applyProtection="1">
      <alignment horizontal="center"/>
      <protection hidden="1"/>
    </xf>
    <xf numFmtId="0" fontId="14" fillId="0" borderId="8" xfId="20" applyFont="1" applyBorder="1" applyProtection="1">
      <protection hidden="1"/>
    </xf>
    <xf numFmtId="9" fontId="14" fillId="0" borderId="0" xfId="17" quotePrefix="1" applyFont="1" applyFill="1" applyAlignment="1" applyProtection="1">
      <alignment horizontal="center"/>
      <protection hidden="1"/>
    </xf>
    <xf numFmtId="9" fontId="17" fillId="0" borderId="0" xfId="17" applyFont="1" applyFill="1" applyAlignment="1" applyProtection="1">
      <alignment horizontal="center" vertical="center"/>
      <protection hidden="1"/>
    </xf>
    <xf numFmtId="17" fontId="17" fillId="0" borderId="7" xfId="20" applyNumberFormat="1" applyFont="1" applyBorder="1" applyAlignment="1" applyProtection="1">
      <alignment horizontal="left"/>
      <protection hidden="1"/>
    </xf>
    <xf numFmtId="0" fontId="17" fillId="0" borderId="13" xfId="20" applyFont="1" applyBorder="1" applyAlignment="1" applyProtection="1">
      <alignment horizontal="center" vertical="center"/>
      <protection hidden="1"/>
    </xf>
    <xf numFmtId="0" fontId="17" fillId="0" borderId="13" xfId="20" applyFont="1" applyBorder="1" applyAlignment="1" applyProtection="1">
      <alignment horizontal="right"/>
      <protection hidden="1"/>
    </xf>
    <xf numFmtId="176" fontId="14" fillId="10" borderId="13" xfId="20" applyNumberFormat="1" applyFont="1" applyFill="1" applyBorder="1" applyAlignment="1" applyProtection="1">
      <alignment horizontal="center"/>
      <protection hidden="1"/>
    </xf>
    <xf numFmtId="176" fontId="14" fillId="0" borderId="13" xfId="20" applyNumberFormat="1" applyFont="1" applyBorder="1" applyAlignment="1" applyProtection="1">
      <alignment horizontal="center"/>
      <protection hidden="1"/>
    </xf>
    <xf numFmtId="175" fontId="14" fillId="0" borderId="89" xfId="20" applyNumberFormat="1" applyFont="1" applyBorder="1" applyAlignment="1" applyProtection="1">
      <alignment horizontal="center"/>
      <protection hidden="1"/>
    </xf>
    <xf numFmtId="0" fontId="17" fillId="0" borderId="13" xfId="20" applyFont="1" applyBorder="1" applyProtection="1">
      <protection hidden="1"/>
    </xf>
    <xf numFmtId="38" fontId="17" fillId="0" borderId="13" xfId="16" applyNumberFormat="1" applyFont="1" applyFill="1" applyBorder="1" applyProtection="1">
      <protection hidden="1"/>
    </xf>
    <xf numFmtId="3" fontId="17" fillId="0" borderId="83" xfId="20" applyNumberFormat="1" applyFont="1" applyBorder="1" applyProtection="1">
      <protection hidden="1"/>
    </xf>
    <xf numFmtId="0" fontId="38" fillId="0" borderId="0" xfId="20" applyFont="1" applyProtection="1">
      <protection hidden="1"/>
    </xf>
    <xf numFmtId="0" fontId="14" fillId="0" borderId="13" xfId="20" applyFont="1" applyBorder="1" applyProtection="1">
      <protection hidden="1"/>
    </xf>
    <xf numFmtId="0" fontId="14" fillId="0" borderId="13" xfId="20" applyFont="1" applyBorder="1" applyAlignment="1" applyProtection="1">
      <alignment horizontal="center" vertical="center"/>
      <protection hidden="1"/>
    </xf>
    <xf numFmtId="38" fontId="14" fillId="0" borderId="13" xfId="16" applyNumberFormat="1" applyFont="1" applyFill="1" applyBorder="1" applyProtection="1">
      <protection hidden="1"/>
    </xf>
    <xf numFmtId="3" fontId="14" fillId="0" borderId="13" xfId="20" applyNumberFormat="1" applyFont="1" applyBorder="1" applyProtection="1">
      <protection hidden="1"/>
    </xf>
    <xf numFmtId="3" fontId="14" fillId="0" borderId="90" xfId="20" applyNumberFormat="1" applyFont="1" applyBorder="1" applyProtection="1">
      <protection hidden="1"/>
    </xf>
    <xf numFmtId="0" fontId="14" fillId="0" borderId="0" xfId="20" quotePrefix="1" applyFont="1" applyProtection="1">
      <protection hidden="1"/>
    </xf>
    <xf numFmtId="0" fontId="14" fillId="0" borderId="0" xfId="20" quotePrefix="1" applyFont="1" applyAlignment="1" applyProtection="1">
      <alignment horizontal="center" vertical="center"/>
      <protection hidden="1"/>
    </xf>
    <xf numFmtId="38" fontId="14" fillId="0" borderId="0" xfId="16" quotePrefix="1" applyNumberFormat="1" applyFont="1" applyFill="1" applyBorder="1" applyProtection="1">
      <protection hidden="1"/>
    </xf>
    <xf numFmtId="0" fontId="14" fillId="0" borderId="3" xfId="20" quotePrefix="1" applyFont="1" applyBorder="1" applyProtection="1">
      <protection hidden="1"/>
    </xf>
    <xf numFmtId="0" fontId="17" fillId="0" borderId="7" xfId="20" applyFont="1" applyBorder="1" applyProtection="1">
      <protection hidden="1"/>
    </xf>
    <xf numFmtId="0" fontId="17" fillId="0" borderId="7" xfId="20" applyFont="1" applyBorder="1" applyAlignment="1" applyProtection="1">
      <alignment horizontal="center" vertical="center"/>
      <protection hidden="1"/>
    </xf>
    <xf numFmtId="38" fontId="17" fillId="0" borderId="7" xfId="16" applyNumberFormat="1" applyFont="1" applyFill="1" applyBorder="1" applyProtection="1">
      <protection hidden="1"/>
    </xf>
    <xf numFmtId="3" fontId="17" fillId="0" borderId="7" xfId="20" applyNumberFormat="1" applyFont="1" applyBorder="1" applyProtection="1">
      <protection hidden="1"/>
    </xf>
    <xf numFmtId="0" fontId="14" fillId="0" borderId="10" xfId="20" applyFont="1" applyBorder="1" applyProtection="1">
      <protection hidden="1"/>
    </xf>
    <xf numFmtId="0" fontId="14" fillId="0" borderId="10" xfId="20" applyFont="1" applyBorder="1" applyAlignment="1" applyProtection="1">
      <alignment horizontal="center" vertical="center"/>
      <protection hidden="1"/>
    </xf>
    <xf numFmtId="38" fontId="14" fillId="0" borderId="10" xfId="16" applyNumberFormat="1" applyFont="1" applyFill="1" applyBorder="1" applyProtection="1">
      <protection hidden="1"/>
    </xf>
    <xf numFmtId="3" fontId="14" fillId="0" borderId="10" xfId="20" applyNumberFormat="1" applyFont="1" applyBorder="1" applyProtection="1">
      <protection hidden="1"/>
    </xf>
    <xf numFmtId="3" fontId="14" fillId="0" borderId="91" xfId="20" applyNumberFormat="1" applyFont="1" applyBorder="1" applyProtection="1">
      <protection hidden="1"/>
    </xf>
    <xf numFmtId="3" fontId="14" fillId="0" borderId="83" xfId="20" applyNumberFormat="1" applyFont="1" applyBorder="1" applyProtection="1">
      <protection hidden="1"/>
    </xf>
    <xf numFmtId="3" fontId="14" fillId="0" borderId="12" xfId="20" applyNumberFormat="1" applyFont="1" applyBorder="1" applyProtection="1">
      <protection hidden="1"/>
    </xf>
    <xf numFmtId="0" fontId="17" fillId="0" borderId="18" xfId="20" applyFont="1" applyBorder="1" applyProtection="1">
      <protection hidden="1"/>
    </xf>
    <xf numFmtId="0" fontId="17" fillId="0" borderId="18" xfId="20" applyFont="1" applyBorder="1" applyAlignment="1" applyProtection="1">
      <alignment horizontal="center" vertical="center"/>
      <protection hidden="1"/>
    </xf>
    <xf numFmtId="38" fontId="17" fillId="0" borderId="18" xfId="16" applyNumberFormat="1" applyFont="1" applyFill="1" applyBorder="1" applyProtection="1">
      <protection hidden="1"/>
    </xf>
    <xf numFmtId="3" fontId="17" fillId="0" borderId="18" xfId="20" applyNumberFormat="1" applyFont="1" applyBorder="1" applyProtection="1">
      <protection hidden="1"/>
    </xf>
    <xf numFmtId="3" fontId="17" fillId="0" borderId="92" xfId="20" applyNumberFormat="1" applyFont="1" applyBorder="1" applyProtection="1">
      <protection hidden="1"/>
    </xf>
    <xf numFmtId="0" fontId="14" fillId="0" borderId="0" xfId="20" applyFont="1" applyAlignment="1" applyProtection="1">
      <alignment horizontal="center" vertical="center"/>
      <protection hidden="1"/>
    </xf>
    <xf numFmtId="38" fontId="14" fillId="0" borderId="0" xfId="16" applyNumberFormat="1" applyFont="1" applyFill="1" applyBorder="1" applyProtection="1">
      <protection hidden="1"/>
    </xf>
    <xf numFmtId="3" fontId="14" fillId="0" borderId="0" xfId="20" applyNumberFormat="1" applyFont="1" applyProtection="1">
      <protection hidden="1"/>
    </xf>
    <xf numFmtId="3" fontId="14" fillId="0" borderId="7" xfId="20" applyNumberFormat="1" applyFont="1" applyBorder="1" applyProtection="1">
      <protection hidden="1"/>
    </xf>
    <xf numFmtId="0" fontId="22" fillId="0" borderId="0" xfId="20" applyFont="1" applyProtection="1">
      <protection hidden="1"/>
    </xf>
    <xf numFmtId="0" fontId="14" fillId="0" borderId="13" xfId="20" applyFont="1" applyBorder="1" applyAlignment="1" applyProtection="1">
      <alignment vertical="center" wrapText="1"/>
      <protection hidden="1"/>
    </xf>
    <xf numFmtId="0" fontId="14" fillId="0" borderId="17" xfId="20" applyFont="1" applyBorder="1" applyProtection="1">
      <protection hidden="1"/>
    </xf>
    <xf numFmtId="0" fontId="14" fillId="0" borderId="17" xfId="20" applyFont="1" applyBorder="1" applyAlignment="1" applyProtection="1">
      <alignment horizontal="center" vertical="center"/>
      <protection hidden="1"/>
    </xf>
    <xf numFmtId="38" fontId="14" fillId="0" borderId="17" xfId="16" applyNumberFormat="1" applyFont="1" applyFill="1" applyBorder="1" applyProtection="1">
      <protection hidden="1"/>
    </xf>
    <xf numFmtId="3" fontId="14" fillId="0" borderId="93" xfId="20" applyNumberFormat="1" applyFont="1" applyBorder="1" applyProtection="1">
      <protection hidden="1"/>
    </xf>
    <xf numFmtId="0" fontId="17" fillId="0" borderId="16" xfId="20" applyFont="1" applyBorder="1" applyProtection="1">
      <protection hidden="1"/>
    </xf>
    <xf numFmtId="0" fontId="17" fillId="0" borderId="16" xfId="20" applyFont="1" applyBorder="1" applyAlignment="1" applyProtection="1">
      <alignment horizontal="center" vertical="center"/>
      <protection hidden="1"/>
    </xf>
    <xf numFmtId="38" fontId="17" fillId="0" borderId="16" xfId="16" applyNumberFormat="1" applyFont="1" applyFill="1" applyBorder="1" applyProtection="1">
      <protection hidden="1"/>
    </xf>
    <xf numFmtId="0" fontId="14" fillId="0" borderId="94" xfId="20" applyFont="1" applyBorder="1" applyAlignment="1" applyProtection="1">
      <alignment wrapText="1"/>
      <protection hidden="1"/>
    </xf>
    <xf numFmtId="0" fontId="17" fillId="0" borderId="94" xfId="20" applyFont="1" applyBorder="1" applyAlignment="1" applyProtection="1">
      <alignment horizontal="center" vertical="center" wrapText="1"/>
      <protection hidden="1"/>
    </xf>
    <xf numFmtId="38" fontId="17" fillId="0" borderId="94" xfId="16" applyNumberFormat="1" applyFont="1" applyFill="1" applyBorder="1" applyAlignment="1" applyProtection="1">
      <alignment wrapText="1"/>
      <protection hidden="1"/>
    </xf>
    <xf numFmtId="3" fontId="14" fillId="0" borderId="94" xfId="20" applyNumberFormat="1" applyFont="1" applyBorder="1" applyProtection="1">
      <protection hidden="1"/>
    </xf>
    <xf numFmtId="3" fontId="14" fillId="0" borderId="95" xfId="20" applyNumberFormat="1" applyFont="1" applyBorder="1" applyProtection="1">
      <protection hidden="1"/>
    </xf>
    <xf numFmtId="0" fontId="14" fillId="0" borderId="0" xfId="20" applyFont="1" applyAlignment="1" applyProtection="1">
      <alignment wrapText="1"/>
      <protection hidden="1"/>
    </xf>
    <xf numFmtId="0" fontId="17" fillId="0" borderId="0" xfId="20" applyFont="1" applyAlignment="1" applyProtection="1">
      <alignment horizontal="center" vertical="center" wrapText="1"/>
      <protection hidden="1"/>
    </xf>
    <xf numFmtId="38" fontId="17" fillId="0" borderId="0" xfId="16" applyNumberFormat="1" applyFont="1" applyFill="1" applyBorder="1" applyAlignment="1" applyProtection="1">
      <alignment wrapText="1"/>
      <protection hidden="1"/>
    </xf>
    <xf numFmtId="173" fontId="17" fillId="0" borderId="13" xfId="20" applyNumberFormat="1" applyFont="1" applyBorder="1" applyProtection="1">
      <protection hidden="1"/>
    </xf>
    <xf numFmtId="173" fontId="17" fillId="0" borderId="83" xfId="20" applyNumberFormat="1" applyFont="1" applyBorder="1" applyProtection="1">
      <protection hidden="1"/>
    </xf>
    <xf numFmtId="0" fontId="17" fillId="0" borderId="9" xfId="20" applyFont="1" applyBorder="1" applyProtection="1">
      <protection hidden="1"/>
    </xf>
    <xf numFmtId="0" fontId="17" fillId="0" borderId="9" xfId="20" applyFont="1" applyBorder="1" applyAlignment="1" applyProtection="1">
      <alignment horizontal="center" vertical="center"/>
      <protection hidden="1"/>
    </xf>
    <xf numFmtId="38" fontId="17" fillId="0" borderId="9" xfId="16" applyNumberFormat="1" applyFont="1" applyFill="1" applyBorder="1" applyProtection="1">
      <protection hidden="1"/>
    </xf>
    <xf numFmtId="173" fontId="17" fillId="0" borderId="9" xfId="20" applyNumberFormat="1" applyFont="1" applyBorder="1" applyProtection="1">
      <protection hidden="1"/>
    </xf>
    <xf numFmtId="173" fontId="17" fillId="0" borderId="2" xfId="20" applyNumberFormat="1" applyFont="1" applyBorder="1" applyProtection="1">
      <protection hidden="1"/>
    </xf>
    <xf numFmtId="3" fontId="17" fillId="0" borderId="96" xfId="20" applyNumberFormat="1" applyFont="1" applyBorder="1" applyProtection="1">
      <protection hidden="1"/>
    </xf>
    <xf numFmtId="0" fontId="17" fillId="0" borderId="19" xfId="20" applyFont="1" applyBorder="1" applyProtection="1">
      <protection hidden="1"/>
    </xf>
    <xf numFmtId="0" fontId="17" fillId="0" borderId="19" xfId="20" applyFont="1" applyBorder="1" applyAlignment="1" applyProtection="1">
      <alignment horizontal="center" vertical="center"/>
      <protection hidden="1"/>
    </xf>
    <xf numFmtId="38" fontId="17" fillId="0" borderId="19" xfId="16" applyNumberFormat="1" applyFont="1" applyFill="1" applyBorder="1" applyProtection="1">
      <protection hidden="1"/>
    </xf>
    <xf numFmtId="173" fontId="17" fillId="0" borderId="19" xfId="20" applyNumberFormat="1" applyFont="1" applyBorder="1" applyProtection="1">
      <protection hidden="1"/>
    </xf>
    <xf numFmtId="3" fontId="17" fillId="0" borderId="0" xfId="20" applyNumberFormat="1" applyFont="1" applyProtection="1">
      <protection hidden="1"/>
    </xf>
    <xf numFmtId="0" fontId="17" fillId="0" borderId="10" xfId="20" applyFont="1" applyBorder="1" applyProtection="1">
      <protection hidden="1"/>
    </xf>
    <xf numFmtId="0" fontId="6" fillId="0" borderId="10" xfId="20" applyFont="1" applyBorder="1" applyAlignment="1" applyProtection="1">
      <alignment horizontal="center" vertical="center"/>
      <protection hidden="1"/>
    </xf>
    <xf numFmtId="0" fontId="6" fillId="0" borderId="0" xfId="20" applyFont="1" applyProtection="1">
      <protection hidden="1"/>
    </xf>
    <xf numFmtId="0" fontId="6" fillId="0" borderId="0" xfId="20" applyFont="1" applyAlignment="1" applyProtection="1">
      <alignment horizontal="center" vertical="center"/>
      <protection hidden="1"/>
    </xf>
    <xf numFmtId="0" fontId="20" fillId="0" borderId="0" xfId="20" applyFont="1" applyAlignment="1" applyProtection="1">
      <alignment horizontal="center"/>
      <protection hidden="1"/>
    </xf>
    <xf numFmtId="0" fontId="17" fillId="0" borderId="0" xfId="20" applyFont="1" applyAlignment="1" applyProtection="1">
      <alignment horizontal="center"/>
      <protection hidden="1"/>
    </xf>
    <xf numFmtId="0" fontId="17" fillId="0" borderId="0" xfId="20" applyFont="1" applyAlignment="1" applyProtection="1">
      <alignment horizontal="left"/>
      <protection hidden="1"/>
    </xf>
    <xf numFmtId="9" fontId="14" fillId="0" borderId="7" xfId="20" applyNumberFormat="1" applyFont="1" applyBorder="1" applyAlignment="1" applyProtection="1">
      <alignment horizontal="center"/>
      <protection hidden="1"/>
    </xf>
    <xf numFmtId="9" fontId="14" fillId="0" borderId="9" xfId="20" applyNumberFormat="1" applyFont="1" applyBorder="1" applyAlignment="1" applyProtection="1">
      <alignment horizontal="center"/>
      <protection hidden="1"/>
    </xf>
    <xf numFmtId="9" fontId="14" fillId="0" borderId="11" xfId="20" applyNumberFormat="1" applyFont="1" applyBorder="1" applyAlignment="1" applyProtection="1">
      <alignment horizontal="center"/>
      <protection hidden="1"/>
    </xf>
    <xf numFmtId="9" fontId="14" fillId="0" borderId="10" xfId="20" applyNumberFormat="1" applyFont="1" applyBorder="1" applyAlignment="1" applyProtection="1">
      <alignment horizontal="center"/>
      <protection hidden="1"/>
    </xf>
    <xf numFmtId="9" fontId="17" fillId="0" borderId="0" xfId="17" applyFont="1" applyFill="1" applyAlignment="1" applyProtection="1">
      <alignment horizontal="center"/>
      <protection hidden="1"/>
    </xf>
    <xf numFmtId="0" fontId="17" fillId="0" borderId="13" xfId="20" applyFont="1" applyBorder="1" applyAlignment="1" applyProtection="1">
      <alignment horizontal="center"/>
      <protection hidden="1"/>
    </xf>
    <xf numFmtId="176" fontId="14" fillId="0" borderId="12" xfId="20" applyNumberFormat="1" applyFont="1" applyBorder="1" applyAlignment="1" applyProtection="1">
      <alignment horizontal="center"/>
      <protection hidden="1"/>
    </xf>
    <xf numFmtId="0" fontId="14" fillId="0" borderId="13" xfId="20" applyFont="1" applyBorder="1" applyAlignment="1" applyProtection="1">
      <alignment horizontal="center"/>
      <protection hidden="1"/>
    </xf>
    <xf numFmtId="0" fontId="14" fillId="0" borderId="0" xfId="20" quotePrefix="1" applyFont="1" applyAlignment="1" applyProtection="1">
      <alignment horizontal="center"/>
      <protection hidden="1"/>
    </xf>
    <xf numFmtId="0" fontId="17" fillId="0" borderId="7" xfId="20" applyFont="1" applyBorder="1" applyAlignment="1" applyProtection="1">
      <alignment horizontal="center"/>
      <protection hidden="1"/>
    </xf>
    <xf numFmtId="0" fontId="14" fillId="0" borderId="10" xfId="20" applyFont="1" applyBorder="1" applyAlignment="1" applyProtection="1">
      <alignment horizontal="center"/>
      <protection hidden="1"/>
    </xf>
    <xf numFmtId="38" fontId="14" fillId="0" borderId="12" xfId="16" applyNumberFormat="1" applyFont="1" applyFill="1" applyBorder="1" applyProtection="1">
      <protection hidden="1"/>
    </xf>
    <xf numFmtId="0" fontId="17" fillId="0" borderId="18" xfId="20" applyFont="1" applyBorder="1" applyAlignment="1" applyProtection="1">
      <alignment horizontal="center"/>
      <protection hidden="1"/>
    </xf>
    <xf numFmtId="3" fontId="17" fillId="0" borderId="97" xfId="20" applyNumberFormat="1" applyFont="1" applyBorder="1" applyProtection="1">
      <protection hidden="1"/>
    </xf>
    <xf numFmtId="3" fontId="17" fillId="0" borderId="93" xfId="20" applyNumberFormat="1" applyFont="1" applyBorder="1" applyProtection="1">
      <protection hidden="1"/>
    </xf>
    <xf numFmtId="0" fontId="14" fillId="0" borderId="0" xfId="20" applyFont="1" applyAlignment="1" applyProtection="1">
      <alignment horizontal="center"/>
      <protection hidden="1"/>
    </xf>
    <xf numFmtId="0" fontId="14" fillId="0" borderId="13" xfId="20" applyFont="1" applyBorder="1" applyAlignment="1" applyProtection="1">
      <alignment vertical="top" wrapText="1"/>
      <protection hidden="1"/>
    </xf>
    <xf numFmtId="0" fontId="14" fillId="0" borderId="17" xfId="20" applyFont="1" applyBorder="1" applyAlignment="1" applyProtection="1">
      <alignment horizontal="center"/>
      <protection hidden="1"/>
    </xf>
    <xf numFmtId="0" fontId="17" fillId="0" borderId="16" xfId="20" applyFont="1" applyBorder="1" applyAlignment="1" applyProtection="1">
      <alignment horizontal="center"/>
      <protection hidden="1"/>
    </xf>
    <xf numFmtId="0" fontId="14" fillId="0" borderId="11" xfId="20" applyFont="1" applyBorder="1" applyAlignment="1" applyProtection="1">
      <alignment wrapText="1"/>
      <protection hidden="1"/>
    </xf>
    <xf numFmtId="0" fontId="17" fillId="0" borderId="11" xfId="20" applyFont="1" applyBorder="1" applyAlignment="1" applyProtection="1">
      <alignment horizontal="center" wrapText="1"/>
      <protection hidden="1"/>
    </xf>
    <xf numFmtId="38" fontId="17" fillId="0" borderId="11" xfId="16" applyNumberFormat="1" applyFont="1" applyFill="1" applyBorder="1" applyAlignment="1" applyProtection="1">
      <alignment wrapText="1"/>
      <protection hidden="1"/>
    </xf>
    <xf numFmtId="3" fontId="14" fillId="0" borderId="11" xfId="20" applyNumberFormat="1" applyFont="1" applyBorder="1" applyProtection="1">
      <protection hidden="1"/>
    </xf>
    <xf numFmtId="0" fontId="14" fillId="0" borderId="19" xfId="20" applyFont="1" applyBorder="1" applyAlignment="1" applyProtection="1">
      <alignment wrapText="1"/>
      <protection hidden="1"/>
    </xf>
    <xf numFmtId="0" fontId="17" fillId="0" borderId="19" xfId="20" applyFont="1" applyBorder="1" applyAlignment="1" applyProtection="1">
      <alignment horizontal="center" wrapText="1"/>
      <protection hidden="1"/>
    </xf>
    <xf numFmtId="38" fontId="17" fillId="0" borderId="19" xfId="16" applyNumberFormat="1" applyFont="1" applyFill="1" applyBorder="1" applyAlignment="1" applyProtection="1">
      <alignment wrapText="1"/>
      <protection hidden="1"/>
    </xf>
    <xf numFmtId="3" fontId="14" fillId="0" borderId="19" xfId="20" applyNumberFormat="1" applyFont="1" applyBorder="1" applyProtection="1">
      <protection hidden="1"/>
    </xf>
    <xf numFmtId="0" fontId="17" fillId="0" borderId="10" xfId="20" applyFont="1" applyBorder="1" applyAlignment="1" applyProtection="1">
      <alignment horizontal="center"/>
      <protection hidden="1"/>
    </xf>
    <xf numFmtId="38" fontId="17" fillId="0" borderId="10" xfId="16" applyNumberFormat="1" applyFont="1" applyFill="1" applyBorder="1" applyProtection="1">
      <protection hidden="1"/>
    </xf>
    <xf numFmtId="173" fontId="17" fillId="0" borderId="10" xfId="20" applyNumberFormat="1" applyFont="1" applyBorder="1" applyProtection="1">
      <protection hidden="1"/>
    </xf>
    <xf numFmtId="173" fontId="17" fillId="0" borderId="6" xfId="20" applyNumberFormat="1" applyFont="1" applyBorder="1" applyProtection="1">
      <protection hidden="1"/>
    </xf>
    <xf numFmtId="0" fontId="17" fillId="0" borderId="9" xfId="20" applyFont="1" applyBorder="1" applyAlignment="1" applyProtection="1">
      <alignment horizontal="center"/>
      <protection hidden="1"/>
    </xf>
    <xf numFmtId="0" fontId="17" fillId="0" borderId="19" xfId="20" applyFont="1" applyBorder="1" applyAlignment="1" applyProtection="1">
      <alignment horizontal="center"/>
      <protection hidden="1"/>
    </xf>
    <xf numFmtId="0" fontId="6" fillId="0" borderId="10" xfId="20" applyFont="1" applyBorder="1" applyAlignment="1" applyProtection="1">
      <alignment horizontal="center"/>
      <protection hidden="1"/>
    </xf>
    <xf numFmtId="0" fontId="6" fillId="0" borderId="0" xfId="20" applyFont="1" applyAlignment="1" applyProtection="1">
      <alignment horizontal="center"/>
      <protection hidden="1"/>
    </xf>
    <xf numFmtId="9" fontId="17" fillId="0" borderId="0" xfId="17" quotePrefix="1" applyFont="1" applyFill="1" applyBorder="1" applyAlignment="1" applyProtection="1">
      <alignment horizontal="right"/>
      <protection hidden="1"/>
    </xf>
    <xf numFmtId="0" fontId="14" fillId="0" borderId="9" xfId="20" applyFont="1" applyBorder="1" applyAlignment="1" applyProtection="1">
      <alignment horizontal="center"/>
      <protection hidden="1"/>
    </xf>
    <xf numFmtId="38" fontId="14" fillId="0" borderId="9" xfId="16" applyNumberFormat="1" applyFont="1" applyFill="1" applyBorder="1" applyProtection="1">
      <protection hidden="1"/>
    </xf>
    <xf numFmtId="0" fontId="14" fillId="0" borderId="3" xfId="20" quotePrefix="1" applyFont="1" applyBorder="1" applyAlignment="1" applyProtection="1">
      <alignment horizontal="center"/>
      <protection hidden="1"/>
    </xf>
    <xf numFmtId="38" fontId="14" fillId="0" borderId="3" xfId="16" quotePrefix="1" applyNumberFormat="1" applyFont="1" applyFill="1" applyBorder="1" applyProtection="1">
      <protection hidden="1"/>
    </xf>
    <xf numFmtId="0" fontId="14" fillId="0" borderId="10" xfId="20" applyFont="1" applyBorder="1" applyAlignment="1" applyProtection="1">
      <alignment wrapText="1"/>
      <protection hidden="1"/>
    </xf>
    <xf numFmtId="0" fontId="17" fillId="0" borderId="10" xfId="20" applyFont="1" applyBorder="1" applyAlignment="1" applyProtection="1">
      <alignment horizontal="center" wrapText="1"/>
      <protection hidden="1"/>
    </xf>
    <xf numFmtId="38" fontId="17" fillId="0" borderId="10" xfId="16" applyNumberFormat="1" applyFont="1" applyFill="1" applyBorder="1" applyAlignment="1" applyProtection="1">
      <alignment wrapText="1"/>
      <protection hidden="1"/>
    </xf>
    <xf numFmtId="38" fontId="17" fillId="0" borderId="0" xfId="16" applyNumberFormat="1" applyFont="1" applyFill="1" applyBorder="1" applyProtection="1">
      <protection hidden="1"/>
    </xf>
    <xf numFmtId="173" fontId="17" fillId="0" borderId="0" xfId="20" applyNumberFormat="1" applyFont="1" applyProtection="1">
      <protection hidden="1"/>
    </xf>
    <xf numFmtId="0" fontId="17" fillId="0" borderId="53" xfId="20" applyFont="1" applyBorder="1" applyProtection="1">
      <protection hidden="1"/>
    </xf>
    <xf numFmtId="0" fontId="17" fillId="0" borderId="53" xfId="20" applyFont="1" applyBorder="1" applyAlignment="1" applyProtection="1">
      <alignment horizontal="center"/>
      <protection hidden="1"/>
    </xf>
    <xf numFmtId="38" fontId="17" fillId="0" borderId="53" xfId="16" applyNumberFormat="1" applyFont="1" applyFill="1" applyBorder="1" applyProtection="1">
      <protection hidden="1"/>
    </xf>
    <xf numFmtId="173" fontId="17" fillId="0" borderId="53" xfId="20" applyNumberFormat="1" applyFont="1" applyBorder="1" applyProtection="1">
      <protection hidden="1"/>
    </xf>
    <xf numFmtId="173" fontId="17" fillId="0" borderId="84" xfId="20" applyNumberFormat="1" applyFont="1" applyBorder="1" applyProtection="1">
      <protection hidden="1"/>
    </xf>
    <xf numFmtId="0" fontId="6" fillId="0" borderId="13" xfId="20" applyFont="1" applyBorder="1" applyAlignment="1" applyProtection="1">
      <alignment horizontal="center"/>
      <protection hidden="1"/>
    </xf>
    <xf numFmtId="170" fontId="6" fillId="0" borderId="12" xfId="0" applyNumberFormat="1" applyFont="1" applyBorder="1" applyProtection="1">
      <protection hidden="1"/>
    </xf>
    <xf numFmtId="0" fontId="14" fillId="0" borderId="13" xfId="20" applyFont="1" applyBorder="1" applyAlignment="1" applyProtection="1">
      <alignment horizontal="center" vertical="top" wrapText="1"/>
      <protection hidden="1"/>
    </xf>
    <xf numFmtId="0" fontId="14" fillId="0" borderId="13" xfId="20" applyFont="1" applyBorder="1" applyAlignment="1" applyProtection="1">
      <alignment horizontal="right" vertical="top" wrapText="1"/>
      <protection hidden="1"/>
    </xf>
    <xf numFmtId="38" fontId="28" fillId="0" borderId="15" xfId="16" applyNumberFormat="1" applyFont="1" applyBorder="1" applyAlignment="1" applyProtection="1">
      <alignment horizontal="right"/>
    </xf>
    <xf numFmtId="38" fontId="14" fillId="0" borderId="13" xfId="16" applyNumberFormat="1" applyFont="1" applyFill="1" applyBorder="1" applyAlignment="1" applyProtection="1">
      <alignment horizontal="right" vertical="center"/>
      <protection hidden="1"/>
    </xf>
    <xf numFmtId="38" fontId="14" fillId="0" borderId="13" xfId="16" applyNumberFormat="1" applyFont="1" applyFill="1" applyBorder="1" applyAlignment="1" applyProtection="1">
      <alignment horizontal="right" vertical="top" wrapText="1"/>
      <protection hidden="1"/>
    </xf>
    <xf numFmtId="0" fontId="61" fillId="10" borderId="0" xfId="22" applyFont="1" applyFill="1"/>
    <xf numFmtId="0" fontId="63" fillId="10" borderId="0" xfId="22" applyFont="1" applyFill="1" applyProtection="1">
      <protection hidden="1"/>
    </xf>
    <xf numFmtId="170" fontId="28" fillId="0" borderId="23" xfId="0" applyNumberFormat="1" applyFont="1" applyBorder="1" applyAlignment="1" applyProtection="1">
      <alignment horizontal="left"/>
      <protection hidden="1"/>
    </xf>
    <xf numFmtId="2" fontId="6" fillId="0" borderId="19" xfId="0" applyNumberFormat="1" applyFont="1" applyBorder="1" applyProtection="1">
      <protection hidden="1"/>
    </xf>
    <xf numFmtId="38" fontId="6" fillId="0" borderId="98" xfId="13" applyFont="1" applyBorder="1" applyProtection="1">
      <protection hidden="1"/>
    </xf>
    <xf numFmtId="2" fontId="6" fillId="0" borderId="98" xfId="0" applyNumberFormat="1" applyFont="1" applyBorder="1" applyProtection="1">
      <protection hidden="1"/>
    </xf>
    <xf numFmtId="38" fontId="6" fillId="0" borderId="19" xfId="13" applyFont="1" applyBorder="1" applyProtection="1">
      <protection hidden="1"/>
    </xf>
    <xf numFmtId="38" fontId="28" fillId="0" borderId="9" xfId="13" applyFont="1" applyBorder="1" applyProtection="1">
      <protection hidden="1"/>
    </xf>
    <xf numFmtId="2" fontId="28" fillId="0" borderId="9" xfId="0" applyNumberFormat="1" applyFont="1" applyBorder="1" applyProtection="1">
      <protection hidden="1"/>
    </xf>
    <xf numFmtId="170" fontId="28" fillId="0" borderId="24" xfId="0" applyNumberFormat="1" applyFont="1" applyBorder="1" applyAlignment="1" applyProtection="1">
      <alignment horizontal="left"/>
      <protection hidden="1"/>
    </xf>
    <xf numFmtId="38" fontId="28" fillId="0" borderId="24" xfId="13" applyFont="1" applyBorder="1" applyProtection="1">
      <protection hidden="1"/>
    </xf>
    <xf numFmtId="2" fontId="28" fillId="0" borderId="24" xfId="0" applyNumberFormat="1" applyFont="1" applyBorder="1" applyProtection="1">
      <protection hidden="1"/>
    </xf>
    <xf numFmtId="38" fontId="7" fillId="0" borderId="0" xfId="13" applyFont="1" applyBorder="1" applyProtection="1">
      <protection hidden="1"/>
    </xf>
    <xf numFmtId="170" fontId="7" fillId="0" borderId="22" xfId="0" applyNumberFormat="1" applyFont="1" applyBorder="1" applyAlignment="1" applyProtection="1">
      <alignment horizontal="left"/>
      <protection hidden="1"/>
    </xf>
    <xf numFmtId="170" fontId="7" fillId="0" borderId="33" xfId="0" applyNumberFormat="1" applyFont="1" applyBorder="1" applyAlignment="1" applyProtection="1">
      <alignment horizontal="left"/>
      <protection hidden="1"/>
    </xf>
    <xf numFmtId="2" fontId="61" fillId="0" borderId="0" xfId="0" applyNumberFormat="1" applyFont="1" applyProtection="1">
      <protection hidden="1"/>
    </xf>
    <xf numFmtId="38" fontId="64" fillId="0" borderId="0" xfId="16" applyNumberFormat="1" applyFont="1" applyFill="1" applyBorder="1" applyProtection="1">
      <protection hidden="1"/>
    </xf>
    <xf numFmtId="0" fontId="15" fillId="0" borderId="0" xfId="0" applyFont="1" applyAlignment="1" applyProtection="1">
      <alignment vertical="center" wrapText="1"/>
      <protection hidden="1"/>
    </xf>
    <xf numFmtId="38" fontId="6" fillId="11" borderId="13" xfId="13" applyFont="1" applyFill="1" applyBorder="1" applyProtection="1">
      <protection locked="0"/>
    </xf>
    <xf numFmtId="38" fontId="6" fillId="11" borderId="11" xfId="13" applyFont="1" applyFill="1" applyBorder="1" applyProtection="1">
      <protection locked="0"/>
    </xf>
    <xf numFmtId="2" fontId="10" fillId="11" borderId="0" xfId="22" applyNumberFormat="1" applyFill="1" applyAlignment="1" applyProtection="1">
      <alignment horizontal="center"/>
      <protection locked="0"/>
    </xf>
    <xf numFmtId="2" fontId="6" fillId="11" borderId="11" xfId="22" applyNumberFormat="1" applyFont="1" applyFill="1" applyBorder="1" applyAlignment="1" applyProtection="1">
      <alignment horizontal="center"/>
      <protection locked="0"/>
    </xf>
    <xf numFmtId="2" fontId="10" fillId="11" borderId="5" xfId="22" applyNumberFormat="1" applyFill="1" applyBorder="1" applyAlignment="1" applyProtection="1">
      <alignment horizontal="center"/>
      <protection locked="0"/>
    </xf>
    <xf numFmtId="2" fontId="10" fillId="11" borderId="11" xfId="22" applyNumberFormat="1" applyFill="1" applyBorder="1" applyAlignment="1" applyProtection="1">
      <alignment horizontal="center"/>
      <protection locked="0"/>
    </xf>
    <xf numFmtId="172" fontId="10" fillId="11" borderId="11" xfId="22" applyNumberFormat="1" applyFill="1" applyBorder="1" applyAlignment="1" applyProtection="1">
      <alignment horizontal="center"/>
      <protection locked="0"/>
    </xf>
    <xf numFmtId="2" fontId="10" fillId="11" borderId="10" xfId="22" applyNumberFormat="1" applyFill="1" applyBorder="1" applyAlignment="1" applyProtection="1">
      <alignment horizontal="center"/>
      <protection locked="0"/>
    </xf>
    <xf numFmtId="38" fontId="10" fillId="11" borderId="13" xfId="16" applyNumberFormat="1" applyFont="1" applyFill="1" applyBorder="1" applyAlignment="1" applyProtection="1">
      <alignment horizontal="right"/>
      <protection locked="0"/>
    </xf>
    <xf numFmtId="174" fontId="6" fillId="11" borderId="11" xfId="14" applyNumberFormat="1" applyFont="1" applyFill="1" applyBorder="1" applyAlignment="1" applyProtection="1">
      <alignment horizontal="right"/>
      <protection locked="0"/>
    </xf>
    <xf numFmtId="38" fontId="6" fillId="11" borderId="13" xfId="16" applyNumberFormat="1" applyFont="1" applyFill="1" applyBorder="1" applyProtection="1">
      <protection locked="0"/>
    </xf>
    <xf numFmtId="38" fontId="6" fillId="11" borderId="14" xfId="16" applyNumberFormat="1" applyFont="1" applyFill="1" applyBorder="1" applyProtection="1">
      <protection locked="0"/>
    </xf>
    <xf numFmtId="38" fontId="6" fillId="11" borderId="9" xfId="16" applyNumberFormat="1" applyFont="1" applyFill="1" applyBorder="1" applyProtection="1">
      <protection locked="0"/>
    </xf>
    <xf numFmtId="38" fontId="6" fillId="11" borderId="12" xfId="16" applyNumberFormat="1" applyFont="1" applyFill="1" applyBorder="1" applyProtection="1">
      <protection locked="0"/>
    </xf>
    <xf numFmtId="38" fontId="6" fillId="11" borderId="13" xfId="16" applyNumberFormat="1" applyFont="1" applyFill="1" applyBorder="1" applyAlignment="1" applyProtection="1">
      <alignment horizontal="center"/>
      <protection locked="0"/>
    </xf>
    <xf numFmtId="3" fontId="6" fillId="11" borderId="13" xfId="16" applyNumberFormat="1" applyFont="1" applyFill="1" applyBorder="1" applyAlignment="1" applyProtection="1">
      <alignment horizontal="center"/>
      <protection locked="0"/>
    </xf>
    <xf numFmtId="1" fontId="6" fillId="11" borderId="11" xfId="0" applyNumberFormat="1" applyFont="1" applyFill="1" applyBorder="1" applyProtection="1">
      <protection locked="0"/>
    </xf>
    <xf numFmtId="2" fontId="6" fillId="11" borderId="61" xfId="0" applyNumberFormat="1" applyFont="1" applyFill="1" applyBorder="1" applyProtection="1">
      <protection locked="0"/>
    </xf>
    <xf numFmtId="2" fontId="6" fillId="11" borderId="62" xfId="0" applyNumberFormat="1" applyFont="1" applyFill="1" applyBorder="1" applyProtection="1">
      <protection locked="0"/>
    </xf>
    <xf numFmtId="40" fontId="6" fillId="11" borderId="99" xfId="16" applyFont="1" applyFill="1" applyBorder="1" applyProtection="1">
      <protection locked="0"/>
    </xf>
    <xf numFmtId="38" fontId="6" fillId="11" borderId="72" xfId="16" applyNumberFormat="1" applyFont="1" applyFill="1" applyBorder="1" applyProtection="1">
      <protection locked="0"/>
    </xf>
    <xf numFmtId="9" fontId="6" fillId="11" borderId="1" xfId="17" applyFont="1" applyFill="1" applyBorder="1" applyAlignment="1" applyProtection="1">
      <alignment horizontal="center"/>
      <protection locked="0"/>
    </xf>
    <xf numFmtId="1" fontId="6" fillId="11" borderId="0" xfId="0" applyNumberFormat="1" applyFont="1" applyFill="1" applyProtection="1">
      <protection locked="0"/>
    </xf>
    <xf numFmtId="1" fontId="6" fillId="11" borderId="7" xfId="0" applyNumberFormat="1" applyFont="1" applyFill="1" applyBorder="1" applyProtection="1">
      <protection locked="0"/>
    </xf>
    <xf numFmtId="178" fontId="6" fillId="11" borderId="0" xfId="0" applyNumberFormat="1" applyFont="1" applyFill="1" applyProtection="1">
      <protection locked="0"/>
    </xf>
    <xf numFmtId="166" fontId="6" fillId="11" borderId="7" xfId="0" applyNumberFormat="1" applyFont="1" applyFill="1" applyBorder="1" applyProtection="1">
      <protection locked="0"/>
    </xf>
    <xf numFmtId="38" fontId="6" fillId="11" borderId="10" xfId="16" applyNumberFormat="1" applyFont="1" applyFill="1" applyBorder="1" applyProtection="1">
      <protection locked="0"/>
    </xf>
    <xf numFmtId="2" fontId="6" fillId="11" borderId="13" xfId="0" applyNumberFormat="1" applyFont="1" applyFill="1" applyBorder="1" applyProtection="1">
      <protection locked="0"/>
    </xf>
    <xf numFmtId="2" fontId="6" fillId="11" borderId="10" xfId="0" applyNumberFormat="1" applyFont="1" applyFill="1" applyBorder="1" applyProtection="1">
      <protection locked="0"/>
    </xf>
    <xf numFmtId="9" fontId="14" fillId="11" borderId="9" xfId="17" applyFont="1" applyFill="1" applyBorder="1" applyAlignment="1" applyProtection="1">
      <alignment horizontal="center" vertical="center"/>
      <protection locked="0"/>
    </xf>
    <xf numFmtId="3" fontId="14" fillId="11" borderId="13" xfId="20" applyNumberFormat="1" applyFont="1" applyFill="1" applyBorder="1" applyProtection="1">
      <protection locked="0"/>
    </xf>
    <xf numFmtId="3" fontId="14" fillId="11" borderId="10" xfId="20" applyNumberFormat="1" applyFont="1" applyFill="1" applyBorder="1" applyProtection="1">
      <protection locked="0"/>
    </xf>
    <xf numFmtId="3" fontId="14" fillId="11" borderId="12" xfId="20" applyNumberFormat="1" applyFont="1" applyFill="1" applyBorder="1" applyProtection="1">
      <protection locked="0"/>
    </xf>
    <xf numFmtId="0" fontId="6" fillId="0" borderId="3" xfId="0" applyFont="1" applyBorder="1" applyAlignment="1" applyProtection="1">
      <alignment horizontal="center"/>
      <protection hidden="1"/>
    </xf>
    <xf numFmtId="3" fontId="6" fillId="0" borderId="3" xfId="0" applyNumberFormat="1" applyFont="1" applyBorder="1" applyProtection="1">
      <protection hidden="1"/>
    </xf>
    <xf numFmtId="38" fontId="6" fillId="0" borderId="7" xfId="16" applyNumberFormat="1" applyFont="1" applyBorder="1" applyProtection="1">
      <protection hidden="1"/>
    </xf>
    <xf numFmtId="0" fontId="6" fillId="0" borderId="100" xfId="0" applyFont="1" applyBorder="1" applyProtection="1">
      <protection hidden="1"/>
    </xf>
    <xf numFmtId="166" fontId="7" fillId="0" borderId="100" xfId="0" applyNumberFormat="1" applyFont="1" applyBorder="1" applyProtection="1">
      <protection hidden="1"/>
    </xf>
    <xf numFmtId="166" fontId="7" fillId="0" borderId="8" xfId="0" applyNumberFormat="1" applyFont="1" applyBorder="1" applyProtection="1">
      <protection hidden="1"/>
    </xf>
    <xf numFmtId="166" fontId="19" fillId="0" borderId="0" xfId="0" applyNumberFormat="1" applyFont="1" applyProtection="1">
      <protection hidden="1"/>
    </xf>
    <xf numFmtId="0" fontId="15" fillId="0" borderId="0" xfId="0" applyFont="1" applyAlignment="1" applyProtection="1">
      <alignment horizontal="left" vertical="center" wrapText="1"/>
      <protection hidden="1"/>
    </xf>
    <xf numFmtId="38" fontId="28" fillId="0" borderId="0" xfId="0" applyNumberFormat="1" applyFont="1" applyProtection="1">
      <protection hidden="1"/>
    </xf>
    <xf numFmtId="38" fontId="6" fillId="0" borderId="1" xfId="16" applyNumberFormat="1" applyFont="1" applyBorder="1" applyProtection="1">
      <protection hidden="1"/>
    </xf>
    <xf numFmtId="38" fontId="6" fillId="0" borderId="6" xfId="16" applyNumberFormat="1" applyFont="1" applyBorder="1" applyProtection="1">
      <protection hidden="1"/>
    </xf>
    <xf numFmtId="9" fontId="6" fillId="0" borderId="9" xfId="0" applyNumberFormat="1" applyFont="1" applyBorder="1" applyAlignment="1">
      <alignment horizontal="center"/>
    </xf>
    <xf numFmtId="9" fontId="6" fillId="13" borderId="14" xfId="17" applyFont="1" applyFill="1" applyBorder="1" applyAlignment="1" applyProtection="1">
      <alignment horizontal="center"/>
      <protection locked="0" hidden="1"/>
    </xf>
    <xf numFmtId="0" fontId="65" fillId="10" borderId="0" xfId="0" applyFont="1" applyFill="1" applyProtection="1">
      <protection hidden="1"/>
    </xf>
    <xf numFmtId="0" fontId="66" fillId="10" borderId="0" xfId="0" applyFont="1" applyFill="1" applyProtection="1">
      <protection hidden="1"/>
    </xf>
    <xf numFmtId="0" fontId="61" fillId="0" borderId="0" xfId="0" applyFont="1" applyProtection="1">
      <protection locked="0" hidden="1"/>
    </xf>
    <xf numFmtId="0" fontId="6" fillId="11" borderId="10" xfId="0" applyFont="1" applyFill="1" applyBorder="1" applyProtection="1">
      <protection locked="0"/>
    </xf>
    <xf numFmtId="0" fontId="6" fillId="11" borderId="13" xfId="0" applyFont="1" applyFill="1" applyBorder="1" applyProtection="1">
      <protection locked="0"/>
    </xf>
    <xf numFmtId="0" fontId="6" fillId="11" borderId="9" xfId="0" applyFont="1" applyFill="1" applyBorder="1" applyProtection="1">
      <protection locked="0"/>
    </xf>
    <xf numFmtId="0" fontId="6" fillId="11" borderId="13" xfId="0" applyFont="1" applyFill="1" applyBorder="1" applyAlignment="1" applyProtection="1">
      <alignment horizontal="left"/>
      <protection locked="0"/>
    </xf>
    <xf numFmtId="170" fontId="6" fillId="11" borderId="14" xfId="0" applyNumberFormat="1" applyFont="1" applyFill="1" applyBorder="1" applyAlignment="1" applyProtection="1">
      <alignment horizontal="left"/>
      <protection locked="0"/>
    </xf>
    <xf numFmtId="170" fontId="6" fillId="11" borderId="13" xfId="0" applyNumberFormat="1" applyFont="1" applyFill="1" applyBorder="1" applyAlignment="1" applyProtection="1">
      <alignment horizontal="left"/>
      <protection locked="0"/>
    </xf>
    <xf numFmtId="2" fontId="6" fillId="11" borderId="13" xfId="0" applyNumberFormat="1" applyFont="1" applyFill="1" applyBorder="1" applyAlignment="1" applyProtection="1">
      <alignment horizontal="center"/>
      <protection locked="0"/>
    </xf>
    <xf numFmtId="166" fontId="6" fillId="11" borderId="13" xfId="0" applyNumberFormat="1" applyFont="1" applyFill="1" applyBorder="1" applyAlignment="1" applyProtection="1">
      <alignment horizontal="center"/>
      <protection locked="0"/>
    </xf>
    <xf numFmtId="1" fontId="6" fillId="11" borderId="13" xfId="0" applyNumberFormat="1" applyFont="1" applyFill="1" applyBorder="1" applyAlignment="1" applyProtection="1">
      <alignment horizontal="center"/>
      <protection locked="0"/>
    </xf>
    <xf numFmtId="168" fontId="6" fillId="11" borderId="13" xfId="17" applyNumberFormat="1" applyFont="1" applyFill="1" applyBorder="1" applyAlignment="1" applyProtection="1">
      <alignment horizontal="center"/>
      <protection locked="0"/>
    </xf>
    <xf numFmtId="168" fontId="6" fillId="11" borderId="13" xfId="0" applyNumberFormat="1" applyFont="1" applyFill="1" applyBorder="1" applyAlignment="1" applyProtection="1">
      <alignment horizontal="center"/>
      <protection locked="0"/>
    </xf>
    <xf numFmtId="9" fontId="6" fillId="11" borderId="13" xfId="17" applyFont="1" applyFill="1" applyBorder="1" applyAlignment="1" applyProtection="1">
      <alignment horizontal="center"/>
      <protection locked="0"/>
    </xf>
    <xf numFmtId="0" fontId="6" fillId="11" borderId="11" xfId="22" applyFont="1" applyFill="1" applyBorder="1" applyAlignment="1" applyProtection="1">
      <alignment horizontal="left"/>
      <protection locked="0"/>
    </xf>
    <xf numFmtId="1" fontId="10" fillId="11" borderId="1" xfId="22" applyNumberFormat="1" applyFill="1" applyBorder="1" applyAlignment="1" applyProtection="1">
      <alignment horizontal="center"/>
      <protection locked="0"/>
    </xf>
    <xf numFmtId="0" fontId="10" fillId="11" borderId="11" xfId="22" applyFill="1" applyBorder="1" applyAlignment="1" applyProtection="1">
      <alignment horizontal="left"/>
      <protection locked="0"/>
    </xf>
    <xf numFmtId="10" fontId="10" fillId="11" borderId="11" xfId="22" applyNumberFormat="1" applyFill="1" applyBorder="1" applyAlignment="1" applyProtection="1">
      <alignment horizontal="center"/>
      <protection locked="0"/>
    </xf>
    <xf numFmtId="10" fontId="6" fillId="11" borderId="11" xfId="22" applyNumberFormat="1" applyFont="1" applyFill="1" applyBorder="1" applyAlignment="1" applyProtection="1">
      <alignment horizontal="center"/>
      <protection locked="0"/>
    </xf>
    <xf numFmtId="9" fontId="10" fillId="11" borderId="11" xfId="17" applyFont="1" applyFill="1" applyBorder="1" applyAlignment="1" applyProtection="1">
      <alignment horizontal="center"/>
      <protection locked="0"/>
    </xf>
    <xf numFmtId="167" fontId="14" fillId="11" borderId="13" xfId="22" applyNumberFormat="1" applyFont="1" applyFill="1" applyBorder="1" applyAlignment="1" applyProtection="1">
      <alignment horizontal="center"/>
      <protection locked="0"/>
    </xf>
    <xf numFmtId="170" fontId="6" fillId="11" borderId="13" xfId="0" applyNumberFormat="1" applyFont="1" applyFill="1" applyBorder="1" applyProtection="1">
      <protection locked="0"/>
    </xf>
    <xf numFmtId="9" fontId="6" fillId="11" borderId="13" xfId="16" applyNumberFormat="1" applyFont="1" applyFill="1" applyBorder="1" applyAlignment="1" applyProtection="1">
      <alignment horizontal="center"/>
      <protection locked="0"/>
    </xf>
    <xf numFmtId="1" fontId="6" fillId="11" borderId="10" xfId="0" applyNumberFormat="1" applyFont="1" applyFill="1" applyBorder="1" applyProtection="1">
      <protection locked="0"/>
    </xf>
    <xf numFmtId="9" fontId="6" fillId="11" borderId="53" xfId="0" applyNumberFormat="1" applyFont="1" applyFill="1" applyBorder="1" applyProtection="1">
      <protection locked="0"/>
    </xf>
    <xf numFmtId="9" fontId="6" fillId="11" borderId="7" xfId="0" applyNumberFormat="1" applyFont="1" applyFill="1" applyBorder="1" applyProtection="1">
      <protection locked="0"/>
    </xf>
    <xf numFmtId="168" fontId="6" fillId="11" borderId="0" xfId="0" applyNumberFormat="1" applyFont="1" applyFill="1" applyProtection="1">
      <protection locked="0"/>
    </xf>
    <xf numFmtId="0" fontId="6" fillId="11" borderId="1" xfId="0" applyFont="1" applyFill="1" applyBorder="1" applyProtection="1">
      <protection locked="0"/>
    </xf>
    <xf numFmtId="0" fontId="6" fillId="11" borderId="88" xfId="0" applyFont="1" applyFill="1" applyBorder="1" applyProtection="1">
      <protection locked="0"/>
    </xf>
    <xf numFmtId="0" fontId="6" fillId="11" borderId="13" xfId="0" applyFont="1" applyFill="1" applyBorder="1" applyAlignment="1" applyProtection="1">
      <alignment horizontal="center"/>
      <protection locked="0"/>
    </xf>
    <xf numFmtId="9" fontId="14" fillId="11" borderId="11" xfId="17" quotePrefix="1" applyFont="1" applyFill="1" applyBorder="1" applyAlignment="1" applyProtection="1">
      <alignment horizontal="center" vertical="center"/>
      <protection locked="0"/>
    </xf>
    <xf numFmtId="9" fontId="14" fillId="11" borderId="9" xfId="17" quotePrefix="1" applyFont="1" applyFill="1" applyBorder="1" applyAlignment="1" applyProtection="1">
      <alignment horizontal="center" vertical="center"/>
      <protection locked="0"/>
    </xf>
    <xf numFmtId="9" fontId="14" fillId="11" borderId="10" xfId="17" quotePrefix="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protection locked="0"/>
    </xf>
    <xf numFmtId="0" fontId="7" fillId="11" borderId="13" xfId="17" applyNumberFormat="1" applyFont="1" applyFill="1" applyBorder="1" applyAlignment="1" applyProtection="1">
      <alignment horizontal="center"/>
      <protection locked="0"/>
    </xf>
    <xf numFmtId="40" fontId="6" fillId="11" borderId="13" xfId="16" applyFont="1" applyFill="1" applyBorder="1" applyAlignment="1" applyProtection="1">
      <alignment horizontal="center"/>
      <protection locked="0"/>
    </xf>
    <xf numFmtId="1" fontId="6" fillId="11" borderId="86" xfId="0" applyNumberFormat="1" applyFont="1" applyFill="1" applyBorder="1" applyProtection="1">
      <protection locked="0"/>
    </xf>
    <xf numFmtId="1" fontId="6" fillId="11" borderId="101" xfId="0" applyNumberFormat="1" applyFont="1" applyFill="1" applyBorder="1" applyProtection="1">
      <protection locked="0"/>
    </xf>
    <xf numFmtId="9" fontId="6" fillId="11" borderId="54" xfId="0" applyNumberFormat="1" applyFont="1" applyFill="1" applyBorder="1" applyProtection="1">
      <protection locked="0"/>
    </xf>
    <xf numFmtId="9" fontId="7" fillId="11" borderId="11" xfId="17" applyFont="1" applyFill="1" applyBorder="1" applyAlignment="1" applyProtection="1">
      <alignment horizontal="center"/>
      <protection locked="0"/>
    </xf>
    <xf numFmtId="38" fontId="6" fillId="11" borderId="13" xfId="16" applyNumberFormat="1" applyFont="1" applyFill="1" applyBorder="1" applyAlignment="1" applyProtection="1">
      <alignment horizontal="right"/>
      <protection locked="0"/>
    </xf>
    <xf numFmtId="38" fontId="7" fillId="0" borderId="66" xfId="16" applyNumberFormat="1" applyFont="1" applyBorder="1" applyProtection="1">
      <protection hidden="1"/>
    </xf>
    <xf numFmtId="38" fontId="6" fillId="0" borderId="42" xfId="16" applyNumberFormat="1" applyFont="1" applyBorder="1" applyProtection="1">
      <protection hidden="1"/>
    </xf>
    <xf numFmtId="38" fontId="6" fillId="0" borderId="53" xfId="16" applyNumberFormat="1" applyFont="1" applyBorder="1" applyProtection="1">
      <protection hidden="1"/>
    </xf>
    <xf numFmtId="38" fontId="6" fillId="11" borderId="61" xfId="16" applyNumberFormat="1" applyFont="1" applyFill="1" applyBorder="1" applyProtection="1">
      <protection locked="0"/>
    </xf>
    <xf numFmtId="0" fontId="7" fillId="13" borderId="2" xfId="0" applyFont="1" applyFill="1" applyBorder="1" applyProtection="1">
      <protection hidden="1"/>
    </xf>
    <xf numFmtId="0" fontId="6" fillId="13" borderId="3" xfId="0" applyFont="1" applyFill="1" applyBorder="1" applyProtection="1">
      <protection hidden="1"/>
    </xf>
    <xf numFmtId="0" fontId="6" fillId="13" borderId="4" xfId="0" applyFont="1" applyFill="1" applyBorder="1" applyProtection="1">
      <protection hidden="1"/>
    </xf>
    <xf numFmtId="0" fontId="47" fillId="0" borderId="0" xfId="15" quotePrefix="1" applyFill="1" applyAlignment="1" applyProtection="1">
      <protection hidden="1"/>
    </xf>
    <xf numFmtId="0" fontId="6" fillId="0" borderId="13" xfId="15" applyFont="1" applyBorder="1" applyAlignment="1" applyProtection="1">
      <alignment horizontal="center"/>
      <protection hidden="1"/>
    </xf>
    <xf numFmtId="0" fontId="69" fillId="0" borderId="0" xfId="15" applyFont="1" applyBorder="1" applyAlignment="1" applyProtection="1">
      <alignment horizontal="center"/>
      <protection hidden="1"/>
    </xf>
    <xf numFmtId="0" fontId="6" fillId="13" borderId="1" xfId="0" applyFont="1" applyFill="1" applyBorder="1" applyAlignment="1" applyProtection="1">
      <alignment vertical="center"/>
      <protection hidden="1"/>
    </xf>
    <xf numFmtId="0" fontId="6" fillId="13" borderId="0" xfId="0" applyFont="1" applyFill="1" applyAlignment="1" applyProtection="1">
      <alignment vertical="center"/>
      <protection hidden="1"/>
    </xf>
    <xf numFmtId="0" fontId="6" fillId="13" borderId="5" xfId="0" applyFont="1" applyFill="1" applyBorder="1" applyAlignment="1" applyProtection="1">
      <alignment vertical="center"/>
      <protection hidden="1"/>
    </xf>
    <xf numFmtId="0" fontId="6" fillId="0" borderId="0" xfId="0" applyFont="1" applyAlignment="1">
      <alignment vertical="center"/>
    </xf>
    <xf numFmtId="0" fontId="6" fillId="13" borderId="1" xfId="0" applyFont="1" applyFill="1" applyBorder="1" applyAlignment="1" applyProtection="1">
      <alignment vertical="center" shrinkToFit="1"/>
      <protection hidden="1"/>
    </xf>
    <xf numFmtId="0" fontId="6" fillId="13" borderId="0" xfId="0" applyFont="1" applyFill="1" applyAlignment="1" applyProtection="1">
      <alignment vertical="center" shrinkToFit="1"/>
      <protection hidden="1"/>
    </xf>
    <xf numFmtId="0" fontId="6" fillId="13" borderId="5" xfId="0" applyFont="1" applyFill="1" applyBorder="1" applyAlignment="1" applyProtection="1">
      <alignment vertical="center" shrinkToFit="1"/>
      <protection hidden="1"/>
    </xf>
    <xf numFmtId="0" fontId="67" fillId="0" borderId="0" xfId="0" applyFont="1" applyAlignment="1">
      <alignment vertical="center"/>
    </xf>
    <xf numFmtId="0" fontId="67" fillId="13" borderId="0" xfId="0" applyFont="1" applyFill="1" applyAlignment="1" applyProtection="1">
      <alignment vertical="center"/>
      <protection hidden="1"/>
    </xf>
    <xf numFmtId="0" fontId="67" fillId="13" borderId="1" xfId="0" applyFont="1" applyFill="1" applyBorder="1" applyAlignment="1" applyProtection="1">
      <alignment vertical="center" shrinkToFit="1"/>
      <protection hidden="1"/>
    </xf>
    <xf numFmtId="0" fontId="7" fillId="13" borderId="5" xfId="0" applyFont="1" applyFill="1" applyBorder="1" applyAlignment="1" applyProtection="1">
      <alignment vertical="center" shrinkToFit="1"/>
      <protection hidden="1"/>
    </xf>
    <xf numFmtId="0" fontId="6" fillId="15" borderId="13" xfId="15" applyFont="1" applyFill="1" applyBorder="1" applyAlignment="1" applyProtection="1">
      <alignment horizontal="center" vertical="center"/>
      <protection hidden="1"/>
    </xf>
    <xf numFmtId="0" fontId="68" fillId="13" borderId="0" xfId="0" applyFont="1" applyFill="1" applyAlignment="1" applyProtection="1">
      <alignment horizontal="center" vertical="center"/>
      <protection hidden="1"/>
    </xf>
    <xf numFmtId="0" fontId="67" fillId="0" borderId="0" xfId="0" applyFont="1" applyAlignment="1">
      <alignment vertical="center" shrinkToFit="1"/>
    </xf>
    <xf numFmtId="0" fontId="6" fillId="13" borderId="0" xfId="0" applyFont="1" applyFill="1" applyAlignment="1" applyProtection="1">
      <alignment horizontal="center" vertical="center"/>
      <protection hidden="1"/>
    </xf>
    <xf numFmtId="0" fontId="68" fillId="13" borderId="0" xfId="0" applyFont="1" applyFill="1" applyAlignment="1" applyProtection="1">
      <alignment vertical="center" shrinkToFit="1"/>
      <protection hidden="1"/>
    </xf>
    <xf numFmtId="0" fontId="6" fillId="13" borderId="6" xfId="0" applyFont="1" applyFill="1" applyBorder="1" applyAlignment="1" applyProtection="1">
      <alignment vertical="center"/>
      <protection hidden="1"/>
    </xf>
    <xf numFmtId="0" fontId="6" fillId="13" borderId="7" xfId="0" applyFont="1" applyFill="1" applyBorder="1" applyAlignment="1" applyProtection="1">
      <alignment vertical="center"/>
      <protection hidden="1"/>
    </xf>
    <xf numFmtId="0" fontId="6" fillId="13" borderId="8" xfId="0" applyFont="1" applyFill="1" applyBorder="1" applyAlignment="1" applyProtection="1">
      <alignment vertical="center"/>
      <protection hidden="1"/>
    </xf>
    <xf numFmtId="0" fontId="67" fillId="13" borderId="7" xfId="0" applyFont="1" applyFill="1" applyBorder="1" applyAlignment="1" applyProtection="1">
      <alignment vertical="center"/>
      <protection hidden="1"/>
    </xf>
    <xf numFmtId="0" fontId="67" fillId="13" borderId="6" xfId="0" applyFont="1" applyFill="1" applyBorder="1" applyAlignment="1" applyProtection="1">
      <alignment vertical="center" shrinkToFit="1"/>
      <protection hidden="1"/>
    </xf>
    <xf numFmtId="0" fontId="67" fillId="13" borderId="7" xfId="0" applyFont="1" applyFill="1" applyBorder="1" applyAlignment="1" applyProtection="1">
      <alignment vertical="center" shrinkToFit="1"/>
      <protection hidden="1"/>
    </xf>
    <xf numFmtId="0" fontId="6" fillId="13" borderId="8" xfId="0" applyFont="1" applyFill="1" applyBorder="1" applyAlignment="1" applyProtection="1">
      <alignment vertical="center" shrinkToFit="1"/>
      <protection hidden="1"/>
    </xf>
    <xf numFmtId="0" fontId="6" fillId="0" borderId="0" xfId="0" applyFont="1" applyAlignment="1" applyProtection="1">
      <alignment vertical="center"/>
      <protection hidden="1"/>
    </xf>
    <xf numFmtId="0" fontId="67" fillId="0" borderId="0" xfId="0" applyFont="1" applyAlignment="1" applyProtection="1">
      <alignment vertical="center"/>
      <protection hidden="1"/>
    </xf>
    <xf numFmtId="0" fontId="63" fillId="10" borderId="0" xfId="0" applyFont="1" applyFill="1" applyAlignment="1" applyProtection="1">
      <alignment vertical="center"/>
      <protection hidden="1"/>
    </xf>
    <xf numFmtId="0" fontId="30" fillId="10" borderId="0" xfId="0" applyFont="1" applyFill="1" applyAlignment="1" applyProtection="1">
      <alignment vertical="center"/>
      <protection hidden="1"/>
    </xf>
    <xf numFmtId="0" fontId="67" fillId="13" borderId="1" xfId="0" applyFont="1" applyFill="1" applyBorder="1" applyAlignment="1" applyProtection="1">
      <alignment vertical="center"/>
      <protection hidden="1"/>
    </xf>
    <xf numFmtId="0" fontId="67" fillId="0" borderId="5" xfId="0" applyFont="1" applyBorder="1" applyAlignment="1">
      <alignment vertical="center"/>
    </xf>
    <xf numFmtId="0" fontId="61" fillId="10" borderId="0" xfId="0" applyFont="1" applyFill="1" applyAlignment="1" applyProtection="1">
      <alignment vertical="center"/>
      <protection locked="0" hidden="1"/>
    </xf>
    <xf numFmtId="0" fontId="61" fillId="10" borderId="0" xfId="0" applyFont="1" applyFill="1" applyAlignment="1" applyProtection="1">
      <alignment vertical="center"/>
      <protection hidden="1"/>
    </xf>
    <xf numFmtId="0" fontId="67" fillId="0" borderId="1" xfId="0" applyFont="1" applyBorder="1" applyAlignment="1">
      <alignment vertical="center"/>
    </xf>
    <xf numFmtId="0" fontId="67" fillId="13" borderId="5" xfId="0" applyFont="1" applyFill="1" applyBorder="1" applyAlignment="1" applyProtection="1">
      <alignment vertical="center"/>
      <protection hidden="1"/>
    </xf>
    <xf numFmtId="0" fontId="6" fillId="10" borderId="0" xfId="15" applyFont="1" applyFill="1" applyBorder="1" applyAlignment="1" applyProtection="1">
      <alignment horizontal="center" vertical="center"/>
      <protection hidden="1"/>
    </xf>
    <xf numFmtId="0" fontId="71" fillId="10" borderId="13" xfId="15" applyFont="1" applyFill="1" applyBorder="1" applyAlignment="1" applyProtection="1">
      <alignment horizontal="center" vertical="center"/>
      <protection hidden="1"/>
    </xf>
    <xf numFmtId="0" fontId="72" fillId="0" borderId="0" xfId="20" applyFont="1" applyProtection="1">
      <protection hidden="1"/>
    </xf>
    <xf numFmtId="0" fontId="72" fillId="0" borderId="0" xfId="20" applyFont="1" applyAlignment="1" applyProtection="1">
      <alignment horizontal="right"/>
      <protection hidden="1"/>
    </xf>
    <xf numFmtId="0" fontId="14" fillId="13" borderId="1" xfId="20" applyFont="1" applyFill="1" applyBorder="1" applyAlignment="1" applyProtection="1">
      <alignment horizontal="center"/>
      <protection hidden="1"/>
    </xf>
    <xf numFmtId="0" fontId="70" fillId="10" borderId="0" xfId="15" applyFont="1" applyFill="1" applyBorder="1" applyAlignment="1" applyProtection="1">
      <alignment horizontal="center" vertical="center"/>
      <protection hidden="1"/>
    </xf>
    <xf numFmtId="0" fontId="14" fillId="13" borderId="0" xfId="20" applyFont="1" applyFill="1" applyProtection="1">
      <protection hidden="1"/>
    </xf>
    <xf numFmtId="0" fontId="14" fillId="13" borderId="0" xfId="20" applyFont="1" applyFill="1"/>
    <xf numFmtId="0" fontId="72" fillId="13" borderId="0" xfId="20" applyFont="1" applyFill="1" applyProtection="1">
      <protection hidden="1"/>
    </xf>
    <xf numFmtId="0" fontId="72" fillId="13" borderId="0" xfId="20" applyFont="1" applyFill="1" applyAlignment="1" applyProtection="1">
      <alignment horizontal="right"/>
      <protection hidden="1"/>
    </xf>
    <xf numFmtId="0" fontId="14" fillId="13" borderId="0" xfId="20" applyFont="1" applyFill="1" applyAlignment="1" applyProtection="1">
      <alignment horizontal="center"/>
      <protection hidden="1"/>
    </xf>
    <xf numFmtId="0" fontId="70" fillId="13" borderId="0" xfId="15" applyFont="1" applyFill="1" applyBorder="1" applyAlignment="1" applyProtection="1">
      <alignment horizontal="center" vertical="center"/>
      <protection hidden="1"/>
    </xf>
    <xf numFmtId="0" fontId="31" fillId="13" borderId="0" xfId="22" applyFont="1" applyFill="1" applyProtection="1">
      <protection hidden="1"/>
    </xf>
    <xf numFmtId="0" fontId="14" fillId="14" borderId="12" xfId="20" applyFont="1" applyFill="1" applyBorder="1" applyAlignment="1" applyProtection="1">
      <alignment horizontal="center"/>
      <protection locked="0"/>
    </xf>
    <xf numFmtId="0" fontId="6" fillId="16" borderId="13" xfId="15" applyFont="1" applyFill="1" applyBorder="1" applyAlignment="1" applyProtection="1">
      <alignment horizontal="center" vertical="center"/>
      <protection hidden="1"/>
    </xf>
    <xf numFmtId="0" fontId="6" fillId="18" borderId="13" xfId="15" applyFont="1" applyFill="1" applyBorder="1" applyAlignment="1" applyProtection="1">
      <alignment horizontal="center" vertical="center"/>
      <protection hidden="1"/>
    </xf>
    <xf numFmtId="0" fontId="6" fillId="17" borderId="13" xfId="15" applyFont="1" applyFill="1" applyBorder="1" applyAlignment="1" applyProtection="1">
      <alignment horizontal="center" vertical="center" shrinkToFit="1"/>
      <protection hidden="1"/>
    </xf>
    <xf numFmtId="0" fontId="6" fillId="0" borderId="0" xfId="22" applyFont="1" applyAlignment="1">
      <alignment wrapText="1"/>
    </xf>
    <xf numFmtId="0" fontId="6" fillId="0" borderId="0" xfId="22" applyFont="1" applyAlignment="1">
      <alignment horizontal="center" vertical="top" wrapText="1"/>
    </xf>
    <xf numFmtId="0" fontId="25" fillId="0" borderId="0" xfId="22" applyFont="1" applyAlignment="1">
      <alignment horizontal="center" vertical="center" wrapText="1"/>
    </xf>
    <xf numFmtId="0" fontId="61" fillId="13" borderId="0" xfId="22" applyFont="1" applyFill="1" applyProtection="1">
      <protection hidden="1"/>
    </xf>
    <xf numFmtId="0" fontId="61" fillId="13" borderId="0" xfId="22" applyFont="1" applyFill="1"/>
    <xf numFmtId="170" fontId="14" fillId="0" borderId="0" xfId="0" applyNumberFormat="1" applyFont="1" applyAlignment="1" applyProtection="1">
      <alignment horizontal="left"/>
      <protection hidden="1"/>
    </xf>
    <xf numFmtId="38" fontId="19" fillId="0" borderId="0" xfId="16" applyNumberFormat="1" applyFont="1" applyBorder="1" applyAlignment="1" applyProtection="1">
      <alignment horizontal="right"/>
      <protection hidden="1"/>
    </xf>
    <xf numFmtId="166" fontId="19" fillId="0" borderId="0" xfId="0" applyNumberFormat="1" applyFont="1" applyAlignment="1" applyProtection="1">
      <alignment horizontal="center"/>
      <protection hidden="1"/>
    </xf>
    <xf numFmtId="170" fontId="14" fillId="0" borderId="12" xfId="0" applyNumberFormat="1" applyFont="1" applyBorder="1" applyAlignment="1" applyProtection="1">
      <alignment horizontal="left"/>
      <protection hidden="1"/>
    </xf>
    <xf numFmtId="170" fontId="14" fillId="0" borderId="19" xfId="0" applyNumberFormat="1" applyFont="1" applyBorder="1" applyAlignment="1" applyProtection="1">
      <alignment horizontal="left"/>
      <protection hidden="1"/>
    </xf>
    <xf numFmtId="38" fontId="14" fillId="0" borderId="12" xfId="13" applyFont="1" applyBorder="1" applyProtection="1">
      <protection hidden="1"/>
    </xf>
    <xf numFmtId="38" fontId="14" fillId="0" borderId="12" xfId="16" applyNumberFormat="1" applyFont="1" applyBorder="1" applyAlignment="1" applyProtection="1">
      <alignment horizontal="right"/>
      <protection hidden="1"/>
    </xf>
    <xf numFmtId="166" fontId="14" fillId="0" borderId="13" xfId="0" applyNumberFormat="1" applyFont="1" applyBorder="1" applyAlignment="1" applyProtection="1">
      <alignment horizontal="center"/>
      <protection hidden="1"/>
    </xf>
    <xf numFmtId="166" fontId="14" fillId="0" borderId="13" xfId="0" applyNumberFormat="1" applyFont="1" applyBorder="1" applyProtection="1">
      <protection hidden="1"/>
    </xf>
    <xf numFmtId="0" fontId="6" fillId="0" borderId="12" xfId="0" applyFont="1" applyBorder="1" applyAlignment="1" applyProtection="1">
      <alignment horizontal="right"/>
      <protection hidden="1"/>
    </xf>
    <xf numFmtId="38" fontId="7" fillId="0" borderId="61" xfId="16" applyNumberFormat="1" applyFont="1" applyBorder="1" applyProtection="1">
      <protection hidden="1"/>
    </xf>
    <xf numFmtId="38" fontId="6" fillId="0" borderId="0" xfId="16" applyNumberFormat="1" applyFont="1"/>
    <xf numFmtId="38" fontId="6" fillId="0" borderId="0" xfId="16" applyNumberFormat="1" applyFont="1" applyProtection="1">
      <protection hidden="1"/>
    </xf>
    <xf numFmtId="38" fontId="6" fillId="0" borderId="38" xfId="16" applyNumberFormat="1" applyFont="1" applyBorder="1" applyAlignment="1" applyProtection="1">
      <alignment horizontal="center"/>
      <protection hidden="1"/>
    </xf>
    <xf numFmtId="38" fontId="6" fillId="0" borderId="14" xfId="16" applyNumberFormat="1" applyFont="1" applyBorder="1" applyAlignment="1">
      <alignment horizontal="right"/>
    </xf>
    <xf numFmtId="38" fontId="10" fillId="10" borderId="0" xfId="16" applyNumberFormat="1" applyFont="1" applyFill="1" applyProtection="1">
      <protection hidden="1"/>
    </xf>
    <xf numFmtId="0" fontId="73" fillId="0" borderId="0" xfId="20" applyFont="1" applyAlignment="1" applyProtection="1">
      <alignment horizontal="right"/>
      <protection hidden="1"/>
    </xf>
    <xf numFmtId="0" fontId="30" fillId="13" borderId="6" xfId="0" applyFont="1" applyFill="1" applyBorder="1" applyAlignment="1" applyProtection="1">
      <alignment vertical="center"/>
      <protection hidden="1"/>
    </xf>
    <xf numFmtId="0" fontId="6" fillId="10" borderId="0" xfId="0" applyFont="1" applyFill="1" applyAlignment="1" applyProtection="1">
      <alignment vertical="center"/>
      <protection hidden="1"/>
    </xf>
    <xf numFmtId="0" fontId="61" fillId="0" borderId="0" xfId="0" applyFont="1" applyProtection="1">
      <protection hidden="1"/>
    </xf>
    <xf numFmtId="38" fontId="6" fillId="11" borderId="7" xfId="16" applyNumberFormat="1" applyFont="1" applyFill="1" applyBorder="1" applyAlignment="1" applyProtection="1">
      <alignment horizontal="center"/>
      <protection locked="0"/>
    </xf>
    <xf numFmtId="0" fontId="61" fillId="13" borderId="3" xfId="0" applyFont="1" applyFill="1" applyBorder="1" applyAlignment="1" applyProtection="1">
      <alignment horizontal="center"/>
      <protection hidden="1"/>
    </xf>
    <xf numFmtId="0" fontId="6" fillId="0" borderId="5" xfId="0" applyFont="1" applyBorder="1"/>
    <xf numFmtId="0" fontId="6" fillId="0" borderId="0" xfId="22" applyFont="1"/>
    <xf numFmtId="0" fontId="6" fillId="10" borderId="0" xfId="22" applyFont="1" applyFill="1" applyProtection="1">
      <protection hidden="1"/>
    </xf>
    <xf numFmtId="0" fontId="6" fillId="13" borderId="0" xfId="22" applyFont="1" applyFill="1" applyProtection="1">
      <protection hidden="1"/>
    </xf>
    <xf numFmtId="0" fontId="6" fillId="13" borderId="0" xfId="22" applyFont="1" applyFill="1"/>
    <xf numFmtId="0" fontId="6" fillId="10" borderId="0" xfId="22" applyFont="1" applyFill="1"/>
    <xf numFmtId="0" fontId="6" fillId="10" borderId="0" xfId="22" applyFont="1" applyFill="1" applyAlignment="1" applyProtection="1">
      <alignment horizontal="center" vertical="center"/>
      <protection hidden="1"/>
    </xf>
    <xf numFmtId="0" fontId="6" fillId="13" borderId="0" xfId="22" applyFont="1" applyFill="1" applyAlignment="1" applyProtection="1">
      <alignment horizontal="center" vertical="center"/>
      <protection hidden="1"/>
    </xf>
    <xf numFmtId="0" fontId="6" fillId="13" borderId="0" xfId="22" applyFont="1" applyFill="1" applyAlignment="1">
      <alignment horizontal="center" vertical="center"/>
    </xf>
    <xf numFmtId="0" fontId="61" fillId="0" borderId="0" xfId="22" applyFont="1"/>
    <xf numFmtId="0" fontId="61" fillId="10" borderId="0" xfId="22" applyFont="1" applyFill="1" applyProtection="1">
      <protection hidden="1"/>
    </xf>
    <xf numFmtId="0" fontId="61" fillId="10" borderId="0" xfId="22" applyFont="1" applyFill="1" applyAlignment="1" applyProtection="1">
      <alignment horizontal="center" vertical="center"/>
      <protection hidden="1"/>
    </xf>
    <xf numFmtId="0" fontId="61" fillId="9" borderId="0" xfId="22" applyFont="1" applyFill="1"/>
    <xf numFmtId="1" fontId="6" fillId="10" borderId="0" xfId="22" applyNumberFormat="1" applyFont="1" applyFill="1" applyProtection="1">
      <protection hidden="1"/>
    </xf>
    <xf numFmtId="0" fontId="61" fillId="13" borderId="0" xfId="22" applyFont="1" applyFill="1" applyAlignment="1" applyProtection="1">
      <alignment horizontal="center" vertical="center"/>
      <protection hidden="1"/>
    </xf>
    <xf numFmtId="0" fontId="6" fillId="0" borderId="12" xfId="22" applyFont="1" applyBorder="1" applyProtection="1">
      <protection hidden="1"/>
    </xf>
    <xf numFmtId="0" fontId="6" fillId="9" borderId="0" xfId="22" applyFont="1" applyFill="1"/>
    <xf numFmtId="184" fontId="6" fillId="11" borderId="11" xfId="22" applyNumberFormat="1" applyFont="1" applyFill="1" applyBorder="1" applyAlignment="1" applyProtection="1">
      <alignment horizontal="center"/>
      <protection locked="0"/>
    </xf>
    <xf numFmtId="184" fontId="10" fillId="0" borderId="11" xfId="22" applyNumberFormat="1" applyBorder="1" applyAlignment="1" applyProtection="1">
      <alignment horizontal="center"/>
      <protection hidden="1"/>
    </xf>
    <xf numFmtId="184" fontId="6" fillId="11" borderId="10" xfId="22" applyNumberFormat="1" applyFont="1" applyFill="1" applyBorder="1" applyAlignment="1" applyProtection="1">
      <alignment horizontal="center"/>
      <protection locked="0"/>
    </xf>
    <xf numFmtId="14" fontId="4" fillId="0" borderId="0" xfId="18" applyNumberFormat="1"/>
    <xf numFmtId="0" fontId="6" fillId="0" borderId="10" xfId="22" applyFont="1" applyBorder="1" applyAlignment="1" applyProtection="1">
      <alignment horizontal="centerContinuous"/>
      <protection hidden="1"/>
    </xf>
    <xf numFmtId="0" fontId="6" fillId="0" borderId="0" xfId="0" applyFont="1" applyAlignment="1" applyProtection="1">
      <alignment horizontal="left"/>
      <protection hidden="1"/>
    </xf>
    <xf numFmtId="0" fontId="6" fillId="0" borderId="0" xfId="0" applyFont="1" applyAlignment="1" applyProtection="1">
      <alignment horizontal="center" vertical="center"/>
      <protection hidden="1"/>
    </xf>
    <xf numFmtId="38" fontId="6" fillId="13" borderId="13" xfId="13" applyFont="1" applyFill="1" applyBorder="1" applyProtection="1">
      <protection hidden="1"/>
    </xf>
    <xf numFmtId="0" fontId="6" fillId="0" borderId="19" xfId="0" applyFont="1" applyBorder="1" applyAlignment="1" applyProtection="1">
      <alignment horizontal="center"/>
      <protection hidden="1"/>
    </xf>
    <xf numFmtId="170" fontId="7" fillId="0" borderId="3" xfId="0" applyNumberFormat="1" applyFont="1" applyBorder="1" applyProtection="1">
      <protection hidden="1"/>
    </xf>
    <xf numFmtId="170" fontId="43" fillId="0" borderId="0" xfId="0" applyNumberFormat="1" applyFont="1" applyAlignment="1" applyProtection="1">
      <alignment horizontal="right"/>
      <protection hidden="1"/>
    </xf>
    <xf numFmtId="0" fontId="6" fillId="0" borderId="0" xfId="0" applyFont="1" applyAlignment="1">
      <alignment horizontal="center"/>
    </xf>
    <xf numFmtId="0" fontId="6" fillId="0" borderId="8" xfId="0" applyFont="1" applyBorder="1" applyAlignment="1" applyProtection="1">
      <alignment horizontal="center"/>
      <protection hidden="1"/>
    </xf>
    <xf numFmtId="170" fontId="7" fillId="0" borderId="14" xfId="0" applyNumberFormat="1" applyFont="1" applyBorder="1" applyAlignment="1" applyProtection="1">
      <alignment horizontal="center"/>
      <protection hidden="1"/>
    </xf>
    <xf numFmtId="170" fontId="43" fillId="0" borderId="14" xfId="0" applyNumberFormat="1" applyFont="1" applyBorder="1" applyAlignment="1" applyProtection="1">
      <alignment horizontal="center"/>
      <protection hidden="1"/>
    </xf>
    <xf numFmtId="170" fontId="7" fillId="0" borderId="4" xfId="0" applyNumberFormat="1" applyFont="1" applyBorder="1" applyAlignment="1" applyProtection="1">
      <alignment horizontal="center"/>
      <protection hidden="1"/>
    </xf>
    <xf numFmtId="170" fontId="6" fillId="0" borderId="8" xfId="0" applyNumberFormat="1" applyFont="1" applyBorder="1" applyAlignment="1" applyProtection="1">
      <alignment horizontal="center"/>
      <protection hidden="1"/>
    </xf>
    <xf numFmtId="170" fontId="7" fillId="0" borderId="5" xfId="0" applyNumberFormat="1" applyFont="1" applyBorder="1" applyAlignment="1" applyProtection="1">
      <alignment horizontal="center"/>
      <protection hidden="1"/>
    </xf>
    <xf numFmtId="170" fontId="7" fillId="0" borderId="19" xfId="0" applyNumberFormat="1" applyFont="1" applyBorder="1" applyAlignment="1" applyProtection="1">
      <alignment horizontal="center"/>
      <protection hidden="1"/>
    </xf>
    <xf numFmtId="170" fontId="7" fillId="0" borderId="7" xfId="0" applyNumberFormat="1" applyFont="1" applyBorder="1" applyAlignment="1" applyProtection="1">
      <alignment horizontal="center"/>
      <protection hidden="1"/>
    </xf>
    <xf numFmtId="38" fontId="6" fillId="0" borderId="8" xfId="16" applyNumberFormat="1" applyFont="1" applyBorder="1" applyAlignment="1" applyProtection="1">
      <alignment horizontal="center"/>
      <protection hidden="1"/>
    </xf>
    <xf numFmtId="170" fontId="6" fillId="0" borderId="3" xfId="0" applyNumberFormat="1" applyFont="1" applyBorder="1" applyAlignment="1" applyProtection="1">
      <alignment horizontal="center"/>
      <protection hidden="1"/>
    </xf>
    <xf numFmtId="9" fontId="6" fillId="11" borderId="8" xfId="0" applyNumberFormat="1" applyFont="1" applyFill="1" applyBorder="1" applyAlignment="1" applyProtection="1">
      <alignment horizont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5" fillId="0" borderId="0" xfId="0" applyFont="1" applyAlignment="1">
      <alignment horizontal="center" vertical="center" wrapText="1"/>
    </xf>
    <xf numFmtId="178" fontId="4" fillId="0" borderId="0" xfId="18" applyNumberFormat="1"/>
    <xf numFmtId="178" fontId="4" fillId="0" borderId="5" xfId="18" applyNumberFormat="1" applyBorder="1"/>
    <xf numFmtId="0" fontId="4" fillId="0" borderId="7" xfId="18" applyBorder="1"/>
    <xf numFmtId="182" fontId="55" fillId="0" borderId="3" xfId="0" applyNumberFormat="1" applyFont="1" applyBorder="1" applyAlignment="1" applyProtection="1">
      <alignment horizontal="center"/>
      <protection locked="0"/>
    </xf>
    <xf numFmtId="170" fontId="6" fillId="0" borderId="4" xfId="0" applyNumberFormat="1" applyFont="1" applyBorder="1" applyAlignment="1" applyProtection="1">
      <alignment horizontal="left"/>
      <protection hidden="1"/>
    </xf>
    <xf numFmtId="40" fontId="7" fillId="11" borderId="61" xfId="0" applyNumberFormat="1" applyFont="1" applyFill="1" applyBorder="1" applyProtection="1">
      <protection locked="0"/>
    </xf>
    <xf numFmtId="40" fontId="7" fillId="11" borderId="61" xfId="16" applyFont="1" applyFill="1" applyBorder="1" applyProtection="1">
      <protection locked="0"/>
    </xf>
    <xf numFmtId="10" fontId="6" fillId="11" borderId="19" xfId="0" applyNumberFormat="1" applyFont="1" applyFill="1" applyBorder="1" applyProtection="1">
      <protection locked="0"/>
    </xf>
    <xf numFmtId="40" fontId="6" fillId="11" borderId="6" xfId="16" applyFont="1" applyFill="1" applyBorder="1" applyAlignment="1" applyProtection="1">
      <alignment horizontal="center"/>
      <protection locked="0"/>
    </xf>
    <xf numFmtId="40" fontId="6" fillId="11" borderId="61" xfId="16" applyFont="1" applyFill="1" applyBorder="1" applyProtection="1">
      <protection locked="0"/>
    </xf>
    <xf numFmtId="40" fontId="7" fillId="11" borderId="10" xfId="0" applyNumberFormat="1" applyFont="1" applyFill="1" applyBorder="1" applyProtection="1">
      <protection locked="0"/>
    </xf>
    <xf numFmtId="40" fontId="7" fillId="11" borderId="10" xfId="16" applyFont="1" applyFill="1" applyBorder="1" applyProtection="1">
      <protection locked="0"/>
    </xf>
    <xf numFmtId="38" fontId="6" fillId="11" borderId="0" xfId="16" applyNumberFormat="1" applyFont="1" applyFill="1" applyBorder="1" applyProtection="1">
      <protection locked="0"/>
    </xf>
    <xf numFmtId="38" fontId="6" fillId="11" borderId="6" xfId="16" applyNumberFormat="1" applyFont="1" applyFill="1" applyBorder="1" applyAlignment="1" applyProtection="1">
      <alignment horizontal="center"/>
      <protection locked="0"/>
    </xf>
    <xf numFmtId="0" fontId="0" fillId="0" borderId="1" xfId="0" applyBorder="1"/>
    <xf numFmtId="1" fontId="0" fillId="0" borderId="0" xfId="0" applyNumberFormat="1"/>
    <xf numFmtId="1" fontId="0" fillId="0" borderId="5" xfId="0" applyNumberFormat="1" applyBorder="1"/>
    <xf numFmtId="0" fontId="2" fillId="0" borderId="1" xfId="18" applyFont="1" applyBorder="1"/>
    <xf numFmtId="0" fontId="0" fillId="0" borderId="6" xfId="0" applyBorder="1"/>
    <xf numFmtId="1" fontId="0" fillId="0" borderId="7" xfId="0" applyNumberFormat="1" applyBorder="1"/>
    <xf numFmtId="1" fontId="0" fillId="0" borderId="8" xfId="0" applyNumberFormat="1" applyBorder="1"/>
    <xf numFmtId="40" fontId="6" fillId="11" borderId="42" xfId="16" applyFont="1" applyFill="1" applyBorder="1" applyProtection="1">
      <protection locked="0"/>
    </xf>
    <xf numFmtId="0" fontId="54" fillId="0" borderId="0" xfId="0" applyFont="1" applyProtection="1">
      <protection hidden="1"/>
    </xf>
    <xf numFmtId="3" fontId="14" fillId="13" borderId="13" xfId="20" applyNumberFormat="1" applyFont="1" applyFill="1" applyBorder="1" applyProtection="1">
      <protection locked="0"/>
    </xf>
    <xf numFmtId="173" fontId="14" fillId="0" borderId="13" xfId="20" applyNumberFormat="1" applyFont="1" applyBorder="1" applyProtection="1">
      <protection hidden="1"/>
    </xf>
    <xf numFmtId="173" fontId="17" fillId="0" borderId="12" xfId="20" applyNumberFormat="1" applyFont="1" applyBorder="1" applyProtection="1">
      <protection hidden="1"/>
    </xf>
    <xf numFmtId="0" fontId="7" fillId="13" borderId="2" xfId="0" applyFont="1" applyFill="1" applyBorder="1" applyAlignment="1" applyProtection="1">
      <alignment horizontal="center"/>
      <protection hidden="1"/>
    </xf>
    <xf numFmtId="0" fontId="7" fillId="13" borderId="3" xfId="0" applyFont="1" applyFill="1" applyBorder="1" applyAlignment="1" applyProtection="1">
      <alignment horizontal="center"/>
      <protection hidden="1"/>
    </xf>
    <xf numFmtId="0" fontId="7" fillId="13" borderId="4" xfId="0" applyFont="1" applyFill="1" applyBorder="1" applyAlignment="1" applyProtection="1">
      <alignment horizontal="center"/>
      <protection hidden="1"/>
    </xf>
    <xf numFmtId="182" fontId="55" fillId="11" borderId="19" xfId="0" applyNumberFormat="1" applyFont="1" applyFill="1" applyBorder="1" applyAlignment="1" applyProtection="1">
      <alignment horizontal="center"/>
      <protection locked="0"/>
    </xf>
    <xf numFmtId="49" fontId="55" fillId="11" borderId="19" xfId="0" applyNumberFormat="1" applyFont="1" applyFill="1" applyBorder="1" applyAlignment="1" applyProtection="1">
      <alignment horizontal="left"/>
      <protection locked="0"/>
    </xf>
    <xf numFmtId="0" fontId="55" fillId="11" borderId="19" xfId="0" applyFont="1" applyFill="1" applyBorder="1" applyAlignment="1" applyProtection="1">
      <alignment horizontal="left"/>
      <protection locked="0"/>
    </xf>
    <xf numFmtId="0" fontId="17" fillId="0" borderId="19" xfId="0" applyFont="1" applyBorder="1" applyAlignment="1" applyProtection="1">
      <alignment horizontal="center"/>
      <protection hidden="1"/>
    </xf>
    <xf numFmtId="0" fontId="55" fillId="11" borderId="19" xfId="0" applyFont="1" applyFill="1" applyBorder="1" applyAlignment="1" applyProtection="1">
      <alignment horizontal="left"/>
      <protection locked="0" hidden="1"/>
    </xf>
    <xf numFmtId="0" fontId="55" fillId="11" borderId="7" xfId="0" applyFont="1" applyFill="1" applyBorder="1" applyAlignment="1" applyProtection="1">
      <alignment horizontal="center"/>
      <protection locked="0"/>
    </xf>
    <xf numFmtId="0" fontId="6" fillId="0" borderId="12" xfId="15" applyFont="1" applyFill="1" applyBorder="1" applyAlignment="1" applyProtection="1">
      <alignment horizontal="center" vertical="center"/>
      <protection hidden="1"/>
    </xf>
    <xf numFmtId="0" fontId="6" fillId="0" borderId="14" xfId="15" applyFont="1" applyFill="1" applyBorder="1" applyAlignment="1" applyProtection="1">
      <alignment horizontal="center" vertical="center"/>
      <protection hidden="1"/>
    </xf>
    <xf numFmtId="0" fontId="68" fillId="13" borderId="2" xfId="0" applyFont="1" applyFill="1" applyBorder="1" applyAlignment="1" applyProtection="1">
      <alignment horizontal="center" vertical="center"/>
      <protection hidden="1"/>
    </xf>
    <xf numFmtId="0" fontId="68" fillId="13" borderId="3" xfId="0" applyFont="1" applyFill="1" applyBorder="1" applyAlignment="1" applyProtection="1">
      <alignment horizontal="center" vertical="center"/>
      <protection hidden="1"/>
    </xf>
    <xf numFmtId="0" fontId="68" fillId="13" borderId="4" xfId="0" applyFont="1" applyFill="1" applyBorder="1" applyAlignment="1" applyProtection="1">
      <alignment horizontal="center" vertical="center"/>
      <protection hidden="1"/>
    </xf>
    <xf numFmtId="16" fontId="55" fillId="11" borderId="7" xfId="0" applyNumberFormat="1" applyFont="1" applyFill="1" applyBorder="1" applyAlignment="1" applyProtection="1">
      <alignment horizontal="left"/>
      <protection locked="0"/>
    </xf>
    <xf numFmtId="49" fontId="57" fillId="11" borderId="19" xfId="15" applyNumberFormat="1" applyFont="1" applyFill="1" applyBorder="1" applyAlignment="1" applyProtection="1">
      <alignment horizontal="left"/>
      <protection locked="0"/>
    </xf>
    <xf numFmtId="0" fontId="6" fillId="0" borderId="12" xfId="15" applyFont="1" applyBorder="1" applyAlignment="1" applyProtection="1">
      <alignment horizontal="center"/>
      <protection hidden="1"/>
    </xf>
    <xf numFmtId="0" fontId="6" fillId="0" borderId="19" xfId="15" applyFont="1" applyBorder="1" applyAlignment="1" applyProtection="1">
      <alignment horizontal="center"/>
      <protection hidden="1"/>
    </xf>
    <xf numFmtId="0" fontId="6" fillId="0" borderId="14" xfId="15" applyFont="1" applyBorder="1" applyAlignment="1" applyProtection="1">
      <alignment horizontal="center"/>
      <protection hidden="1"/>
    </xf>
    <xf numFmtId="0" fontId="6" fillId="0" borderId="0" xfId="0" applyFont="1" applyAlignment="1" applyProtection="1">
      <alignment horizontal="left" vertical="top" wrapText="1"/>
      <protection hidden="1"/>
    </xf>
    <xf numFmtId="0" fontId="26" fillId="13" borderId="0" xfId="19" applyFont="1" applyFill="1" applyAlignment="1" applyProtection="1">
      <alignment horizontal="center"/>
      <protection hidden="1"/>
    </xf>
    <xf numFmtId="49" fontId="26" fillId="13" borderId="0" xfId="19" applyNumberFormat="1" applyFont="1" applyFill="1" applyAlignment="1" applyProtection="1">
      <alignment horizontal="center"/>
      <protection hidden="1"/>
    </xf>
    <xf numFmtId="0" fontId="54" fillId="13" borderId="0" xfId="0" applyFont="1" applyFill="1" applyAlignment="1" applyProtection="1">
      <alignment horizontal="center"/>
      <protection hidden="1"/>
    </xf>
    <xf numFmtId="0" fontId="14" fillId="13" borderId="0" xfId="0" applyFont="1" applyFill="1" applyAlignment="1" applyProtection="1">
      <alignment horizontal="center"/>
      <protection hidden="1"/>
    </xf>
    <xf numFmtId="0" fontId="6" fillId="13" borderId="0" xfId="0" applyFont="1" applyFill="1" applyAlignment="1" applyProtection="1">
      <alignment horizontal="right"/>
      <protection hidden="1"/>
    </xf>
    <xf numFmtId="0" fontId="26" fillId="13" borderId="0" xfId="19" applyFont="1" applyFill="1" applyAlignment="1" applyProtection="1">
      <alignment horizontal="center"/>
      <protection locked="0" hidden="1"/>
    </xf>
    <xf numFmtId="38" fontId="6" fillId="11" borderId="12" xfId="13" applyFont="1" applyFill="1" applyBorder="1" applyAlignment="1" applyProtection="1">
      <alignment horizontal="left"/>
      <protection locked="0"/>
    </xf>
    <xf numFmtId="38" fontId="6" fillId="11" borderId="14" xfId="13" applyFont="1" applyFill="1" applyBorder="1" applyAlignment="1" applyProtection="1">
      <alignment horizontal="left"/>
      <protection locked="0"/>
    </xf>
    <xf numFmtId="170" fontId="6" fillId="0" borderId="1" xfId="0" applyNumberFormat="1"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170" fontId="6" fillId="0" borderId="12" xfId="0" applyNumberFormat="1" applyFont="1" applyBorder="1" applyAlignment="1" applyProtection="1">
      <alignment horizontal="left"/>
      <protection hidden="1"/>
    </xf>
    <xf numFmtId="170" fontId="6" fillId="0" borderId="14" xfId="0" applyNumberFormat="1"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4" xfId="0" applyFont="1" applyBorder="1" applyAlignment="1" applyProtection="1">
      <alignment horizontal="left"/>
      <protection hidden="1"/>
    </xf>
    <xf numFmtId="0" fontId="6" fillId="0" borderId="12" xfId="0" applyFont="1" applyBorder="1" applyAlignment="1">
      <alignment horizontal="center" vertical="center" wrapText="1"/>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17" fillId="0" borderId="12"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14" xfId="0" applyBorder="1" applyAlignment="1" applyProtection="1">
      <alignment horizontal="center"/>
      <protection hidden="1"/>
    </xf>
    <xf numFmtId="0" fontId="6" fillId="0" borderId="0" xfId="0" applyFont="1" applyAlignment="1" applyProtection="1">
      <alignment horizontal="left"/>
      <protection hidden="1"/>
    </xf>
    <xf numFmtId="0" fontId="6" fillId="0" borderId="5" xfId="0" applyFont="1" applyBorder="1" applyAlignment="1" applyProtection="1">
      <alignment horizontal="left"/>
      <protection hidden="1"/>
    </xf>
    <xf numFmtId="0" fontId="6" fillId="0" borderId="7" xfId="0" applyFont="1" applyBorder="1" applyAlignment="1" applyProtection="1">
      <alignment horizontal="left"/>
      <protection hidden="1"/>
    </xf>
    <xf numFmtId="0" fontId="6" fillId="0" borderId="8" xfId="0" applyFont="1" applyBorder="1" applyAlignment="1" applyProtection="1">
      <alignment horizontal="left"/>
      <protection hidden="1"/>
    </xf>
    <xf numFmtId="170" fontId="19" fillId="0" borderId="97" xfId="0" applyNumberFormat="1" applyFont="1" applyBorder="1" applyAlignment="1" applyProtection="1">
      <alignment horizontal="left"/>
      <protection hidden="1"/>
    </xf>
    <xf numFmtId="170" fontId="19" fillId="0" borderId="102" xfId="0" applyNumberFormat="1" applyFont="1" applyBorder="1" applyAlignment="1" applyProtection="1">
      <alignment horizontal="left"/>
      <protection hidden="1"/>
    </xf>
    <xf numFmtId="0" fontId="6" fillId="0" borderId="22" xfId="0" applyFont="1" applyBorder="1" applyAlignment="1" applyProtection="1">
      <alignment horizontal="left"/>
      <protection hidden="1"/>
    </xf>
    <xf numFmtId="0" fontId="6" fillId="0" borderId="29" xfId="0" applyFont="1" applyBorder="1" applyAlignment="1" applyProtection="1">
      <alignment horizontal="left"/>
      <protection hidden="1"/>
    </xf>
    <xf numFmtId="170" fontId="6" fillId="0" borderId="6" xfId="0" applyNumberFormat="1" applyFont="1" applyBorder="1" applyAlignment="1" applyProtection="1">
      <alignment horizontal="left"/>
      <protection hidden="1"/>
    </xf>
    <xf numFmtId="170" fontId="6" fillId="0" borderId="8" xfId="0" applyNumberFormat="1" applyFont="1" applyBorder="1" applyAlignment="1" applyProtection="1">
      <alignment horizontal="left"/>
      <protection hidden="1"/>
    </xf>
    <xf numFmtId="170" fontId="6" fillId="0" borderId="0" xfId="0" applyNumberFormat="1" applyFont="1" applyAlignment="1" applyProtection="1">
      <alignment horizontal="left"/>
      <protection hidden="1"/>
    </xf>
    <xf numFmtId="170" fontId="6" fillId="0" borderId="2" xfId="0" applyNumberFormat="1" applyFont="1" applyBorder="1" applyAlignment="1" applyProtection="1">
      <alignment horizontal="left"/>
      <protection hidden="1"/>
    </xf>
    <xf numFmtId="170" fontId="6" fillId="0" borderId="3" xfId="0" applyNumberFormat="1" applyFont="1" applyBorder="1" applyAlignment="1" applyProtection="1">
      <alignment horizontal="left"/>
      <protection hidden="1"/>
    </xf>
    <xf numFmtId="170" fontId="28" fillId="0" borderId="2" xfId="0" applyNumberFormat="1" applyFont="1" applyBorder="1" applyAlignment="1" applyProtection="1">
      <alignment horizontal="left"/>
      <protection hidden="1"/>
    </xf>
    <xf numFmtId="170" fontId="28" fillId="0" borderId="4" xfId="0" applyNumberFormat="1" applyFont="1" applyBorder="1" applyAlignment="1" applyProtection="1">
      <alignment horizontal="left"/>
      <protection hidden="1"/>
    </xf>
    <xf numFmtId="170" fontId="28" fillId="0" borderId="23" xfId="0" applyNumberFormat="1" applyFont="1" applyBorder="1" applyAlignment="1" applyProtection="1">
      <alignment horizontal="left"/>
      <protection hidden="1"/>
    </xf>
    <xf numFmtId="170" fontId="28" fillId="0" borderId="33" xfId="0" applyNumberFormat="1" applyFont="1" applyBorder="1" applyAlignment="1" applyProtection="1">
      <alignment horizontal="left"/>
      <protection hidden="1"/>
    </xf>
    <xf numFmtId="0" fontId="6" fillId="0" borderId="12" xfId="0" applyFont="1" applyBorder="1" applyAlignment="1" applyProtection="1">
      <alignment horizontal="left"/>
      <protection hidden="1"/>
    </xf>
    <xf numFmtId="0" fontId="6" fillId="0" borderId="19" xfId="0" applyFont="1" applyBorder="1" applyAlignment="1" applyProtection="1">
      <alignment horizontal="left"/>
      <protection hidden="1"/>
    </xf>
    <xf numFmtId="170" fontId="6" fillId="13" borderId="1" xfId="0" applyNumberFormat="1" applyFont="1" applyFill="1" applyBorder="1" applyAlignment="1" applyProtection="1">
      <alignment horizontal="left"/>
      <protection locked="0" hidden="1"/>
    </xf>
    <xf numFmtId="170" fontId="6" fillId="13" borderId="0" xfId="0" applyNumberFormat="1" applyFont="1" applyFill="1" applyAlignment="1" applyProtection="1">
      <alignment horizontal="left"/>
      <protection locked="0" hidden="1"/>
    </xf>
    <xf numFmtId="0" fontId="47" fillId="0" borderId="0" xfId="15" applyBorder="1" applyAlignment="1" applyProtection="1">
      <alignment horizontal="center"/>
      <protection hidden="1"/>
    </xf>
    <xf numFmtId="2" fontId="40" fillId="0" borderId="0" xfId="0" applyNumberFormat="1" applyFont="1" applyAlignment="1" applyProtection="1">
      <alignment wrapText="1"/>
      <protection hidden="1"/>
    </xf>
    <xf numFmtId="0" fontId="15" fillId="0" borderId="2" xfId="0" applyFont="1" applyBorder="1" applyAlignment="1" applyProtection="1">
      <alignment vertical="center" wrapText="1"/>
      <protection hidden="1"/>
    </xf>
    <xf numFmtId="0" fontId="15" fillId="0" borderId="3" xfId="0" applyFont="1" applyBorder="1" applyAlignment="1" applyProtection="1">
      <alignment vertical="center" wrapText="1"/>
      <protection hidden="1"/>
    </xf>
    <xf numFmtId="0" fontId="15" fillId="0" borderId="4" xfId="0" applyFont="1" applyBorder="1" applyAlignment="1" applyProtection="1">
      <alignment vertical="center" wrapText="1"/>
      <protection hidden="1"/>
    </xf>
    <xf numFmtId="0" fontId="15" fillId="0" borderId="1" xfId="0" applyFont="1" applyBorder="1" applyAlignment="1" applyProtection="1">
      <alignment vertical="center" wrapText="1"/>
      <protection hidden="1"/>
    </xf>
    <xf numFmtId="0" fontId="15" fillId="0" borderId="0" xfId="0" applyFont="1" applyAlignment="1" applyProtection="1">
      <alignment vertical="center" wrapText="1"/>
      <protection hidden="1"/>
    </xf>
    <xf numFmtId="0" fontId="15" fillId="0" borderId="5" xfId="0" applyFont="1" applyBorder="1" applyAlignment="1" applyProtection="1">
      <alignment vertical="center" wrapText="1"/>
      <protection hidden="1"/>
    </xf>
    <xf numFmtId="0" fontId="15" fillId="0" borderId="6" xfId="0" applyFont="1" applyBorder="1" applyAlignment="1" applyProtection="1">
      <alignment vertical="center" wrapText="1"/>
      <protection hidden="1"/>
    </xf>
    <xf numFmtId="0" fontId="15" fillId="0" borderId="7" xfId="0" applyFont="1" applyBorder="1" applyAlignment="1" applyProtection="1">
      <alignment vertical="center" wrapText="1"/>
      <protection hidden="1"/>
    </xf>
    <xf numFmtId="0" fontId="15" fillId="0" borderId="8" xfId="0" applyFont="1" applyBorder="1" applyAlignment="1" applyProtection="1">
      <alignment vertical="center" wrapText="1"/>
      <protection hidden="1"/>
    </xf>
    <xf numFmtId="0" fontId="6" fillId="0" borderId="1" xfId="0" applyFont="1" applyBorder="1" applyProtection="1">
      <protection hidden="1"/>
    </xf>
    <xf numFmtId="0" fontId="0" fillId="0" borderId="5" xfId="0" applyBorder="1" applyProtection="1">
      <protection hidden="1"/>
    </xf>
    <xf numFmtId="0" fontId="6" fillId="0" borderId="2" xfId="0" applyFont="1" applyBorder="1" applyAlignment="1" applyProtection="1">
      <alignment horizontal="center" wrapText="1"/>
      <protection hidden="1"/>
    </xf>
    <xf numFmtId="0" fontId="0" fillId="0" borderId="6" xfId="0" applyBorder="1" applyAlignment="1" applyProtection="1">
      <alignment horizontal="center" wrapText="1"/>
      <protection hidden="1"/>
    </xf>
    <xf numFmtId="0" fontId="6" fillId="10" borderId="5" xfId="0" applyFont="1" applyFill="1" applyBorder="1" applyAlignment="1" applyProtection="1">
      <alignment horizontal="center" vertical="center" wrapText="1"/>
      <protection hidden="1"/>
    </xf>
    <xf numFmtId="0" fontId="52" fillId="10" borderId="5" xfId="0" applyFont="1" applyFill="1" applyBorder="1" applyAlignment="1" applyProtection="1">
      <alignment horizontal="center" vertical="center" wrapText="1"/>
      <protection hidden="1"/>
    </xf>
    <xf numFmtId="0" fontId="52" fillId="10" borderId="8" xfId="0" applyFont="1" applyFill="1" applyBorder="1" applyAlignment="1" applyProtection="1">
      <alignment horizontal="center" vertical="center" wrapText="1"/>
      <protection hidden="1"/>
    </xf>
    <xf numFmtId="0" fontId="29" fillId="10" borderId="13" xfId="0" applyFont="1" applyFill="1" applyBorder="1" applyAlignment="1" applyProtection="1">
      <alignment horizontal="center" vertical="center" wrapText="1"/>
      <protection hidden="1"/>
    </xf>
    <xf numFmtId="0" fontId="41" fillId="10" borderId="13" xfId="0" applyFont="1" applyFill="1" applyBorder="1" applyAlignment="1" applyProtection="1">
      <alignment horizontal="center" vertical="center" wrapText="1"/>
      <protection hidden="1"/>
    </xf>
    <xf numFmtId="0" fontId="29" fillId="0" borderId="13" xfId="0" applyFont="1" applyBorder="1" applyAlignment="1" applyProtection="1">
      <alignment horizontal="center" vertical="center" wrapText="1"/>
      <protection hidden="1"/>
    </xf>
    <xf numFmtId="0" fontId="41" fillId="0" borderId="13" xfId="0" applyFont="1" applyBorder="1" applyAlignment="1" applyProtection="1">
      <alignment horizontal="center" vertical="center" wrapText="1"/>
      <protection hidden="1"/>
    </xf>
    <xf numFmtId="0" fontId="17" fillId="0" borderId="0" xfId="0" applyFont="1" applyProtection="1">
      <protection hidden="1"/>
    </xf>
    <xf numFmtId="1" fontId="29" fillId="0" borderId="13" xfId="0" applyNumberFormat="1" applyFont="1" applyBorder="1" applyAlignment="1" applyProtection="1">
      <alignment horizontal="center" vertical="center" wrapText="1"/>
      <protection hidden="1"/>
    </xf>
    <xf numFmtId="0" fontId="29" fillId="10" borderId="13" xfId="0" applyFont="1" applyFill="1" applyBorder="1" applyAlignment="1" applyProtection="1">
      <alignment horizontal="center" vertical="center"/>
      <protection hidden="1"/>
    </xf>
    <xf numFmtId="0" fontId="41" fillId="10" borderId="13" xfId="0" applyFont="1" applyFill="1" applyBorder="1" applyAlignment="1" applyProtection="1">
      <alignment horizontal="center" vertical="center"/>
      <protection hidden="1"/>
    </xf>
    <xf numFmtId="1" fontId="29" fillId="10" borderId="13" xfId="0" applyNumberFormat="1" applyFont="1" applyFill="1" applyBorder="1" applyAlignment="1" applyProtection="1">
      <alignment horizontal="center" vertical="center" wrapText="1"/>
      <protection hidden="1"/>
    </xf>
    <xf numFmtId="0" fontId="29" fillId="0" borderId="13" xfId="0"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0" fontId="6" fillId="0" borderId="9" xfId="22" applyFont="1" applyBorder="1" applyAlignment="1">
      <alignment horizontal="center" vertical="center" wrapText="1"/>
    </xf>
    <xf numFmtId="0" fontId="6" fillId="0" borderId="11" xfId="22" applyFont="1" applyBorder="1" applyAlignment="1">
      <alignment horizontal="center" vertical="center" wrapText="1"/>
    </xf>
    <xf numFmtId="0" fontId="6" fillId="0" borderId="10" xfId="22" applyFont="1" applyBorder="1" applyAlignment="1">
      <alignment horizontal="center" vertical="center" wrapText="1"/>
    </xf>
    <xf numFmtId="0" fontId="6" fillId="0" borderId="12" xfId="22" applyFont="1" applyBorder="1" applyAlignment="1" applyProtection="1">
      <alignment horizontal="center" vertical="center"/>
      <protection hidden="1"/>
    </xf>
    <xf numFmtId="0" fontId="6" fillId="0" borderId="19" xfId="22" applyFont="1" applyBorder="1" applyAlignment="1" applyProtection="1">
      <alignment horizontal="center" vertical="center"/>
      <protection hidden="1"/>
    </xf>
    <xf numFmtId="0" fontId="6" fillId="0" borderId="14" xfId="22" applyFont="1" applyBorder="1" applyAlignment="1" applyProtection="1">
      <alignment horizontal="center" vertical="center"/>
      <protection hidden="1"/>
    </xf>
    <xf numFmtId="0" fontId="10" fillId="0" borderId="2" xfId="22" applyBorder="1" applyAlignment="1" applyProtection="1">
      <alignment horizontal="center"/>
      <protection hidden="1"/>
    </xf>
    <xf numFmtId="0" fontId="10" fillId="0" borderId="4" xfId="22" applyBorder="1" applyAlignment="1" applyProtection="1">
      <alignment horizontal="center"/>
      <protection hidden="1"/>
    </xf>
    <xf numFmtId="0" fontId="10" fillId="0" borderId="12" xfId="22"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6" fillId="10" borderId="12" xfId="15" applyFont="1" applyFill="1" applyBorder="1" applyAlignment="1" applyProtection="1">
      <alignment horizontal="center" vertical="center"/>
      <protection hidden="1"/>
    </xf>
    <xf numFmtId="0" fontId="6" fillId="10" borderId="14" xfId="15" applyFont="1" applyFill="1" applyBorder="1" applyAlignment="1" applyProtection="1">
      <alignment horizontal="center" vertical="center"/>
      <protection hidden="1"/>
    </xf>
    <xf numFmtId="0" fontId="6" fillId="16" borderId="12" xfId="15" applyFont="1" applyFill="1" applyBorder="1" applyAlignment="1" applyProtection="1">
      <alignment horizontal="center" vertical="center"/>
      <protection hidden="1"/>
    </xf>
    <xf numFmtId="0" fontId="6" fillId="16" borderId="14" xfId="15" applyFont="1" applyFill="1" applyBorder="1" applyAlignment="1" applyProtection="1">
      <alignment horizontal="center" vertical="center"/>
      <protection hidden="1"/>
    </xf>
    <xf numFmtId="0" fontId="6" fillId="0" borderId="9" xfId="22" applyFont="1" applyBorder="1" applyAlignment="1">
      <alignment horizontal="center" vertical="top" wrapText="1"/>
    </xf>
    <xf numFmtId="0" fontId="6" fillId="0" borderId="11" xfId="22" applyFont="1" applyBorder="1" applyAlignment="1">
      <alignment horizontal="center" vertical="top" wrapText="1"/>
    </xf>
    <xf numFmtId="0" fontId="6" fillId="0" borderId="10" xfId="22" applyFont="1" applyBorder="1" applyAlignment="1">
      <alignment horizontal="center" vertical="top" wrapText="1"/>
    </xf>
    <xf numFmtId="0" fontId="6" fillId="16" borderId="19" xfId="15" applyFont="1" applyFill="1" applyBorder="1" applyAlignment="1" applyProtection="1">
      <alignment horizontal="center" vertical="center"/>
      <protection hidden="1"/>
    </xf>
    <xf numFmtId="181" fontId="8" fillId="0" borderId="12" xfId="0" applyNumberFormat="1" applyFont="1" applyBorder="1" applyAlignment="1" applyProtection="1">
      <alignment horizontal="center"/>
      <protection hidden="1"/>
    </xf>
    <xf numFmtId="0" fontId="8" fillId="0" borderId="14" xfId="0" applyFont="1" applyBorder="1" applyAlignment="1" applyProtection="1">
      <alignment horizontal="center"/>
      <protection hidden="1"/>
    </xf>
    <xf numFmtId="170" fontId="6" fillId="0" borderId="9" xfId="0" applyNumberFormat="1" applyFont="1" applyBorder="1" applyAlignment="1" applyProtection="1">
      <alignment horizontal="center"/>
      <protection hidden="1"/>
    </xf>
    <xf numFmtId="0" fontId="0" fillId="0" borderId="10" xfId="0" applyBorder="1" applyProtection="1">
      <protection hidden="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pplyProtection="1">
      <alignment horizontal="right"/>
      <protection hidden="1"/>
    </xf>
    <xf numFmtId="0" fontId="0" fillId="0" borderId="5" xfId="0" applyBorder="1" applyAlignment="1" applyProtection="1">
      <alignment horizontal="right"/>
      <protection hidden="1"/>
    </xf>
    <xf numFmtId="0" fontId="6" fillId="0" borderId="6" xfId="0" applyFont="1" applyBorder="1" applyAlignment="1" applyProtection="1">
      <alignment horizontal="right"/>
      <protection hidden="1"/>
    </xf>
    <xf numFmtId="0" fontId="0" fillId="0" borderId="8" xfId="0" applyBorder="1" applyAlignment="1" applyProtection="1">
      <alignment horizontal="right"/>
      <protection hidden="1"/>
    </xf>
    <xf numFmtId="170" fontId="7" fillId="0" borderId="12" xfId="0" applyNumberFormat="1" applyFont="1" applyBorder="1" applyAlignment="1" applyProtection="1">
      <alignment horizontal="left"/>
      <protection hidden="1"/>
    </xf>
    <xf numFmtId="170" fontId="7" fillId="0" borderId="19" xfId="0" applyNumberFormat="1" applyFont="1" applyBorder="1" applyAlignment="1" applyProtection="1">
      <alignment horizontal="left"/>
      <protection hidden="1"/>
    </xf>
    <xf numFmtId="0" fontId="0" fillId="0" borderId="14" xfId="0" applyBorder="1" applyAlignment="1" applyProtection="1">
      <alignment horizontal="left"/>
      <protection hidden="1"/>
    </xf>
    <xf numFmtId="170" fontId="17" fillId="0" borderId="2" xfId="0" applyNumberFormat="1" applyFont="1" applyBorder="1" applyAlignment="1" applyProtection="1">
      <alignment horizontal="center" vertical="center"/>
      <protection hidden="1"/>
    </xf>
    <xf numFmtId="170" fontId="17" fillId="0" borderId="3" xfId="0" applyNumberFormat="1" applyFont="1" applyBorder="1" applyAlignment="1" applyProtection="1">
      <alignment horizontal="center" vertical="center"/>
      <protection hidden="1"/>
    </xf>
    <xf numFmtId="0" fontId="37" fillId="0" borderId="4" xfId="0" applyFont="1" applyBorder="1" applyAlignment="1" applyProtection="1">
      <alignment horizontal="center" vertical="center"/>
      <protection hidden="1"/>
    </xf>
    <xf numFmtId="170" fontId="17" fillId="0" borderId="1" xfId="0" applyNumberFormat="1" applyFont="1" applyBorder="1" applyAlignment="1" applyProtection="1">
      <alignment horizontal="center" vertical="center"/>
      <protection hidden="1"/>
    </xf>
    <xf numFmtId="170" fontId="17" fillId="0" borderId="0" xfId="0" applyNumberFormat="1" applyFont="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37" fillId="0" borderId="6"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38" fontId="7" fillId="0" borderId="2" xfId="16" applyNumberFormat="1" applyFont="1" applyBorder="1" applyAlignment="1" applyProtection="1">
      <alignment horizontal="center"/>
      <protection hidden="1"/>
    </xf>
    <xf numFmtId="38" fontId="7" fillId="0" borderId="4" xfId="16" applyNumberFormat="1" applyFont="1" applyBorder="1" applyAlignment="1" applyProtection="1">
      <alignment horizontal="center"/>
      <protection hidden="1"/>
    </xf>
    <xf numFmtId="38" fontId="7" fillId="0" borderId="6" xfId="16" applyNumberFormat="1" applyFont="1" applyBorder="1" applyAlignment="1" applyProtection="1">
      <alignment horizontal="center"/>
      <protection hidden="1"/>
    </xf>
    <xf numFmtId="38" fontId="7" fillId="0" borderId="8" xfId="16" applyNumberFormat="1" applyFont="1" applyBorder="1" applyAlignment="1" applyProtection="1">
      <alignment horizontal="center"/>
      <protection hidden="1"/>
    </xf>
    <xf numFmtId="38" fontId="0" fillId="0" borderId="12" xfId="0" applyNumberFormat="1" applyBorder="1" applyAlignment="1" applyProtection="1">
      <alignment horizontal="center" vertical="center"/>
      <protection hidden="1"/>
    </xf>
    <xf numFmtId="38" fontId="0" fillId="0" borderId="14" xfId="0" applyNumberFormat="1" applyBorder="1" applyAlignment="1" applyProtection="1">
      <alignment horizontal="center" vertical="center"/>
      <protection hidden="1"/>
    </xf>
    <xf numFmtId="170" fontId="6" fillId="0" borderId="12" xfId="0" applyNumberFormat="1" applyFont="1" applyBorder="1" applyAlignment="1" applyProtection="1">
      <alignment horizontal="center"/>
      <protection hidden="1"/>
    </xf>
    <xf numFmtId="170" fontId="6" fillId="0" borderId="14" xfId="0" applyNumberFormat="1" applyFont="1" applyBorder="1" applyAlignment="1" applyProtection="1">
      <alignment horizontal="center"/>
      <protection hidden="1"/>
    </xf>
    <xf numFmtId="0" fontId="17" fillId="0" borderId="1" xfId="0" applyFont="1" applyBorder="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37" fillId="0" borderId="6" xfId="0" applyFont="1" applyBorder="1" applyAlignment="1" applyProtection="1">
      <alignment horizontal="center" vertical="center" shrinkToFit="1"/>
      <protection hidden="1"/>
    </xf>
    <xf numFmtId="0" fontId="37" fillId="0" borderId="7" xfId="0"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3" fontId="7" fillId="11" borderId="12" xfId="16" applyNumberFormat="1" applyFont="1" applyFill="1" applyBorder="1" applyAlignment="1" applyProtection="1">
      <alignment horizontal="center" wrapText="1"/>
      <protection locked="0"/>
    </xf>
    <xf numFmtId="3" fontId="7" fillId="11" borderId="14" xfId="16" applyNumberFormat="1" applyFont="1" applyFill="1" applyBorder="1" applyAlignment="1" applyProtection="1">
      <alignment horizontal="center" wrapText="1"/>
      <protection locked="0"/>
    </xf>
    <xf numFmtId="0" fontId="0" fillId="0" borderId="7" xfId="0" applyBorder="1" applyAlignment="1" applyProtection="1">
      <alignment horizontal="right"/>
      <protection hidden="1"/>
    </xf>
    <xf numFmtId="170" fontId="6" fillId="0" borderId="12" xfId="0" applyNumberFormat="1" applyFont="1" applyBorder="1" applyAlignment="1" applyProtection="1">
      <alignment horizontal="right" vertical="center"/>
      <protection hidden="1"/>
    </xf>
    <xf numFmtId="0" fontId="46" fillId="0" borderId="19" xfId="0" applyFont="1" applyBorder="1" applyAlignment="1" applyProtection="1">
      <alignment horizontal="right" vertical="center"/>
      <protection hidden="1"/>
    </xf>
    <xf numFmtId="0" fontId="46" fillId="0" borderId="14" xfId="0" applyFont="1" applyBorder="1" applyAlignment="1" applyProtection="1">
      <alignment horizontal="right" vertical="center"/>
      <protection hidden="1"/>
    </xf>
    <xf numFmtId="38" fontId="7" fillId="0" borderId="12" xfId="16" applyNumberFormat="1" applyFont="1" applyBorder="1" applyAlignment="1" applyProtection="1">
      <alignment horizontal="center"/>
      <protection hidden="1"/>
    </xf>
    <xf numFmtId="38" fontId="7" fillId="0" borderId="14" xfId="16" applyNumberFormat="1" applyFont="1" applyBorder="1" applyAlignment="1" applyProtection="1">
      <alignment horizontal="center"/>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0" fontId="0" fillId="0" borderId="4" xfId="0" applyBorder="1" applyAlignment="1" applyProtection="1">
      <alignment horizontal="left"/>
      <protection hidden="1"/>
    </xf>
    <xf numFmtId="170" fontId="7" fillId="0" borderId="6" xfId="0" applyNumberFormat="1" applyFont="1" applyBorder="1" applyAlignment="1" applyProtection="1">
      <alignment horizontal="left"/>
      <protection hidden="1"/>
    </xf>
    <xf numFmtId="170" fontId="7" fillId="0" borderId="7" xfId="0" applyNumberFormat="1" applyFont="1" applyBorder="1" applyAlignment="1" applyProtection="1">
      <alignment horizontal="left"/>
      <protection hidden="1"/>
    </xf>
    <xf numFmtId="0" fontId="0" fillId="0" borderId="8" xfId="0" applyBorder="1" applyAlignment="1" applyProtection="1">
      <alignment horizontal="left"/>
      <protection hidden="1"/>
    </xf>
    <xf numFmtId="170" fontId="7" fillId="0" borderId="1" xfId="0" applyNumberFormat="1" applyFont="1" applyBorder="1" applyAlignment="1" applyProtection="1">
      <alignment horizontal="left"/>
      <protection hidden="1"/>
    </xf>
    <xf numFmtId="170" fontId="7" fillId="0" borderId="0" xfId="0" applyNumberFormat="1" applyFont="1" applyAlignment="1" applyProtection="1">
      <alignment horizontal="left"/>
      <protection hidden="1"/>
    </xf>
    <xf numFmtId="0" fontId="0" fillId="0" borderId="5" xfId="0" applyBorder="1" applyAlignment="1" applyProtection="1">
      <alignment horizontal="left"/>
      <protection hidden="1"/>
    </xf>
    <xf numFmtId="0" fontId="6" fillId="0" borderId="0" xfId="22" applyFont="1" applyAlignment="1">
      <alignment horizontal="center" vertical="center" wrapText="1"/>
    </xf>
    <xf numFmtId="0" fontId="6" fillId="0" borderId="7" xfId="22" applyFont="1" applyBorder="1" applyAlignment="1">
      <alignment horizontal="center" vertical="center" wrapText="1"/>
    </xf>
    <xf numFmtId="0" fontId="6" fillId="10" borderId="19" xfId="15" applyFont="1" applyFill="1" applyBorder="1" applyAlignment="1" applyProtection="1">
      <alignment horizontal="center" vertical="center"/>
      <protection hidden="1"/>
    </xf>
    <xf numFmtId="0" fontId="7" fillId="0" borderId="0" xfId="0" applyFont="1" applyAlignment="1" applyProtection="1">
      <alignment horizontal="center"/>
      <protection hidden="1"/>
    </xf>
    <xf numFmtId="3" fontId="6" fillId="0" borderId="0" xfId="0" applyNumberFormat="1" applyFont="1" applyProtection="1">
      <protection hidden="1"/>
    </xf>
    <xf numFmtId="0" fontId="0" fillId="0" borderId="0" xfId="0" applyProtection="1">
      <protection hidden="1"/>
    </xf>
    <xf numFmtId="2" fontId="6" fillId="0" borderId="1" xfId="0" applyNumberFormat="1" applyFont="1" applyBorder="1" applyAlignment="1" applyProtection="1">
      <alignment horizontal="center"/>
      <protection hidden="1"/>
    </xf>
    <xf numFmtId="2" fontId="0" fillId="0" borderId="5" xfId="0" applyNumberFormat="1" applyBorder="1" applyAlignment="1" applyProtection="1">
      <alignment horizontal="center"/>
      <protection hidden="1"/>
    </xf>
    <xf numFmtId="1" fontId="6" fillId="11" borderId="1" xfId="0" applyNumberFormat="1" applyFont="1" applyFill="1" applyBorder="1" applyProtection="1">
      <protection locked="0"/>
    </xf>
    <xf numFmtId="1" fontId="6" fillId="11" borderId="0" xfId="0" applyNumberFormat="1" applyFont="1" applyFill="1" applyProtection="1">
      <protection locked="0"/>
    </xf>
    <xf numFmtId="1" fontId="6" fillId="11" borderId="5" xfId="0" applyNumberFormat="1" applyFont="1" applyFill="1" applyBorder="1" applyProtection="1">
      <protection locked="0"/>
    </xf>
    <xf numFmtId="2" fontId="6" fillId="11" borderId="1" xfId="0" applyNumberFormat="1" applyFont="1" applyFill="1" applyBorder="1" applyAlignment="1" applyProtection="1">
      <alignment horizontal="center"/>
      <protection locked="0"/>
    </xf>
    <xf numFmtId="2" fontId="6" fillId="11" borderId="0" xfId="0" applyNumberFormat="1" applyFont="1" applyFill="1" applyAlignment="1" applyProtection="1">
      <alignment horizontal="center"/>
      <protection locked="0"/>
    </xf>
    <xf numFmtId="1" fontId="6" fillId="11" borderId="6" xfId="0" applyNumberFormat="1" applyFont="1" applyFill="1" applyBorder="1" applyProtection="1">
      <protection locked="0"/>
    </xf>
    <xf numFmtId="1" fontId="6" fillId="11" borderId="7" xfId="0" applyNumberFormat="1" applyFont="1" applyFill="1" applyBorder="1" applyProtection="1">
      <protection locked="0"/>
    </xf>
    <xf numFmtId="1" fontId="6" fillId="11" borderId="8" xfId="0" applyNumberFormat="1" applyFont="1" applyFill="1" applyBorder="1" applyProtection="1">
      <protection locked="0"/>
    </xf>
    <xf numFmtId="0" fontId="6" fillId="11" borderId="1" xfId="0" applyFont="1" applyFill="1" applyBorder="1" applyAlignment="1" applyProtection="1">
      <alignment horizontal="center"/>
      <protection locked="0"/>
    </xf>
    <xf numFmtId="0" fontId="6" fillId="11" borderId="0" xfId="0" applyFont="1" applyFill="1" applyAlignment="1" applyProtection="1">
      <alignment horizontal="center"/>
      <protection locked="0"/>
    </xf>
    <xf numFmtId="0" fontId="6" fillId="11" borderId="5" xfId="0" applyFont="1" applyFill="1" applyBorder="1" applyAlignment="1" applyProtection="1">
      <alignment horizontal="center"/>
      <protection locked="0"/>
    </xf>
    <xf numFmtId="180" fontId="6" fillId="11" borderId="1" xfId="16" applyNumberFormat="1" applyFont="1" applyFill="1" applyBorder="1" applyAlignment="1" applyProtection="1">
      <alignment horizontal="center"/>
      <protection locked="0"/>
    </xf>
    <xf numFmtId="180" fontId="6" fillId="11" borderId="0" xfId="16" applyNumberFormat="1" applyFont="1" applyFill="1" applyBorder="1" applyAlignment="1" applyProtection="1">
      <alignment horizontal="center"/>
      <protection locked="0"/>
    </xf>
    <xf numFmtId="180" fontId="6" fillId="11" borderId="5" xfId="16" applyNumberFormat="1" applyFont="1" applyFill="1" applyBorder="1" applyAlignment="1" applyProtection="1">
      <alignment horizontal="center"/>
      <protection locked="0"/>
    </xf>
    <xf numFmtId="0" fontId="6" fillId="0" borderId="12" xfId="0" applyFont="1" applyBorder="1" applyAlignment="1" applyProtection="1">
      <alignment horizontal="center" wrapText="1"/>
      <protection hidden="1"/>
    </xf>
    <xf numFmtId="0" fontId="6" fillId="0" borderId="19" xfId="0" applyFont="1" applyBorder="1" applyAlignment="1" applyProtection="1">
      <alignment horizontal="center" wrapText="1"/>
      <protection hidden="1"/>
    </xf>
    <xf numFmtId="0" fontId="0" fillId="0" borderId="14" xfId="0" applyBorder="1" applyAlignment="1" applyProtection="1">
      <alignment horizontal="center" wrapText="1"/>
      <protection hidden="1"/>
    </xf>
    <xf numFmtId="0" fontId="7" fillId="0" borderId="2" xfId="0" applyFont="1" applyBorder="1" applyAlignment="1" applyProtection="1">
      <alignment vertical="center"/>
      <protection hidden="1"/>
    </xf>
    <xf numFmtId="0" fontId="2" fillId="0" borderId="6" xfId="0" applyFont="1" applyBorder="1" applyAlignment="1" applyProtection="1">
      <alignment vertical="center"/>
      <protection hidden="1"/>
    </xf>
    <xf numFmtId="0" fontId="6" fillId="0" borderId="12" xfId="0" applyFont="1" applyBorder="1" applyAlignment="1" applyProtection="1">
      <alignment horizontal="center"/>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7" fillId="11" borderId="12" xfId="0" applyFont="1" applyFill="1" applyBorder="1" applyAlignment="1" applyProtection="1">
      <alignment horizontal="center" vertical="center"/>
      <protection locked="0"/>
    </xf>
    <xf numFmtId="0" fontId="7" fillId="11" borderId="19" xfId="0" applyFont="1" applyFill="1" applyBorder="1" applyAlignment="1" applyProtection="1">
      <alignment horizontal="center" vertical="center"/>
      <protection locked="0"/>
    </xf>
    <xf numFmtId="0" fontId="7" fillId="11" borderId="14"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protection hidden="1"/>
    </xf>
    <xf numFmtId="0" fontId="6" fillId="0" borderId="19" xfId="0" applyFont="1" applyBorder="1" applyAlignment="1" applyProtection="1">
      <alignment horizontal="left" vertical="center"/>
      <protection hidden="1"/>
    </xf>
    <xf numFmtId="0" fontId="0" fillId="0" borderId="19" xfId="0" applyBorder="1" applyAlignment="1" applyProtection="1">
      <alignment horizontal="left"/>
      <protection hidden="1"/>
    </xf>
    <xf numFmtId="1" fontId="7" fillId="11" borderId="103" xfId="0" applyNumberFormat="1" applyFont="1" applyFill="1" applyBorder="1" applyAlignment="1" applyProtection="1">
      <alignment horizontal="center"/>
      <protection locked="0"/>
    </xf>
    <xf numFmtId="1" fontId="7" fillId="11" borderId="36" xfId="0" applyNumberFormat="1" applyFont="1" applyFill="1" applyBorder="1" applyAlignment="1" applyProtection="1">
      <alignment horizontal="center"/>
      <protection locked="0"/>
    </xf>
    <xf numFmtId="1" fontId="7" fillId="11" borderId="70" xfId="0" applyNumberFormat="1" applyFont="1" applyFill="1" applyBorder="1" applyAlignment="1" applyProtection="1">
      <alignment horizontal="center"/>
      <protection locked="0"/>
    </xf>
    <xf numFmtId="1" fontId="7" fillId="11" borderId="104" xfId="0" applyNumberFormat="1" applyFont="1" applyFill="1" applyBorder="1" applyAlignment="1" applyProtection="1">
      <alignment horizontal="center"/>
      <protection locked="0"/>
    </xf>
    <xf numFmtId="1" fontId="6" fillId="11" borderId="2" xfId="0" applyNumberFormat="1" applyFont="1" applyFill="1" applyBorder="1" applyProtection="1">
      <protection locked="0"/>
    </xf>
    <xf numFmtId="0" fontId="0" fillId="0" borderId="3" xfId="0" applyBorder="1"/>
    <xf numFmtId="0" fontId="0" fillId="0" borderId="4" xfId="0" applyBorder="1"/>
    <xf numFmtId="0" fontId="0" fillId="0" borderId="14" xfId="0" applyBorder="1" applyAlignment="1" applyProtection="1">
      <alignment wrapText="1"/>
      <protection hidden="1"/>
    </xf>
    <xf numFmtId="2" fontId="6" fillId="0" borderId="2" xfId="0" applyNumberFormat="1" applyFont="1" applyBorder="1" applyAlignment="1" applyProtection="1">
      <alignment horizontal="center"/>
      <protection hidden="1"/>
    </xf>
    <xf numFmtId="2" fontId="0" fillId="0" borderId="4" xfId="0" applyNumberFormat="1" applyBorder="1" applyAlignment="1" applyProtection="1">
      <alignment horizontal="center"/>
      <protection hidden="1"/>
    </xf>
    <xf numFmtId="0" fontId="6" fillId="0" borderId="2" xfId="0" applyFont="1" applyBorder="1" applyAlignment="1" applyProtection="1">
      <alignment wrapText="1"/>
      <protection hidden="1"/>
    </xf>
    <xf numFmtId="0" fontId="0" fillId="0" borderId="3" xfId="0" applyBorder="1" applyAlignment="1" applyProtection="1">
      <alignment wrapText="1"/>
      <protection hidden="1"/>
    </xf>
    <xf numFmtId="0" fontId="0" fillId="0" borderId="4" xfId="0" applyBorder="1" applyAlignment="1" applyProtection="1">
      <alignment wrapText="1"/>
      <protection hidden="1"/>
    </xf>
    <xf numFmtId="2" fontId="7" fillId="0" borderId="12" xfId="0" applyNumberFormat="1" applyFont="1" applyBorder="1" applyAlignment="1" applyProtection="1">
      <alignment horizontal="center"/>
      <protection hidden="1"/>
    </xf>
    <xf numFmtId="2" fontId="0" fillId="0" borderId="14" xfId="0" applyNumberFormat="1" applyBorder="1" applyAlignment="1" applyProtection="1">
      <alignment horizontal="center"/>
      <protection hidden="1"/>
    </xf>
    <xf numFmtId="0" fontId="7" fillId="0" borderId="2"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17" fillId="0" borderId="19" xfId="0" applyFont="1" applyBorder="1" applyProtection="1">
      <protection hidden="1"/>
    </xf>
    <xf numFmtId="0" fontId="17" fillId="0" borderId="14" xfId="0" applyFont="1" applyBorder="1" applyProtection="1">
      <protection hidden="1"/>
    </xf>
    <xf numFmtId="0" fontId="7" fillId="0" borderId="9"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6" fillId="0" borderId="3" xfId="0" applyFont="1" applyBorder="1" applyAlignment="1" applyProtection="1">
      <alignment horizontal="center" wrapText="1"/>
      <protection hidden="1"/>
    </xf>
    <xf numFmtId="0" fontId="6" fillId="0" borderId="4" xfId="0" applyFont="1" applyBorder="1" applyAlignment="1" applyProtection="1">
      <alignment horizontal="center" wrapText="1"/>
      <protection hidden="1"/>
    </xf>
    <xf numFmtId="179" fontId="6" fillId="0" borderId="1" xfId="0" applyNumberFormat="1" applyFont="1" applyBorder="1" applyProtection="1">
      <protection hidden="1"/>
    </xf>
    <xf numFmtId="179" fontId="0" fillId="0" borderId="5" xfId="0" applyNumberFormat="1" applyBorder="1" applyProtection="1">
      <protection hidden="1"/>
    </xf>
    <xf numFmtId="169" fontId="6" fillId="0" borderId="1" xfId="0" applyNumberFormat="1" applyFont="1" applyBorder="1" applyAlignment="1" applyProtection="1">
      <alignment horizontal="center" vertical="center"/>
      <protection hidden="1"/>
    </xf>
    <xf numFmtId="169" fontId="6" fillId="0" borderId="0" xfId="0" applyNumberFormat="1" applyFont="1" applyAlignment="1" applyProtection="1">
      <alignment horizontal="center" vertical="center"/>
      <protection hidden="1"/>
    </xf>
    <xf numFmtId="179" fontId="6" fillId="0" borderId="2" xfId="0" applyNumberFormat="1" applyFont="1" applyBorder="1" applyProtection="1">
      <protection hidden="1"/>
    </xf>
    <xf numFmtId="179" fontId="0" fillId="0" borderId="4" xfId="0" applyNumberFormat="1" applyBorder="1" applyProtection="1">
      <protection hidden="1"/>
    </xf>
    <xf numFmtId="169" fontId="6" fillId="0" borderId="6" xfId="0" applyNumberFormat="1" applyFont="1" applyBorder="1" applyAlignment="1" applyProtection="1">
      <alignment horizontal="center" vertical="center"/>
      <protection hidden="1"/>
    </xf>
    <xf numFmtId="169" fontId="6" fillId="0" borderId="7" xfId="0" applyNumberFormat="1" applyFont="1" applyBorder="1" applyAlignment="1" applyProtection="1">
      <alignment horizontal="center" vertical="center"/>
      <protection hidden="1"/>
    </xf>
    <xf numFmtId="179" fontId="6" fillId="0" borderId="88" xfId="0" applyNumberFormat="1" applyFont="1" applyBorder="1" applyProtection="1">
      <protection hidden="1"/>
    </xf>
    <xf numFmtId="179" fontId="0" fillId="0" borderId="75" xfId="0" applyNumberFormat="1" applyBorder="1" applyProtection="1">
      <protection hidden="1"/>
    </xf>
    <xf numFmtId="0" fontId="6" fillId="10" borderId="12" xfId="15" applyFont="1" applyFill="1" applyBorder="1" applyAlignment="1" applyProtection="1">
      <alignment horizontal="center"/>
      <protection hidden="1"/>
    </xf>
    <xf numFmtId="0" fontId="6" fillId="10" borderId="19" xfId="15" applyFont="1" applyFill="1" applyBorder="1" applyAlignment="1" applyProtection="1">
      <alignment horizontal="center"/>
      <protection hidden="1"/>
    </xf>
    <xf numFmtId="0" fontId="6" fillId="10" borderId="14" xfId="15" applyFont="1" applyFill="1" applyBorder="1" applyAlignment="1" applyProtection="1">
      <alignment horizontal="center"/>
      <protection hidden="1"/>
    </xf>
    <xf numFmtId="0" fontId="6" fillId="10" borderId="2" xfId="15" applyFont="1" applyFill="1" applyBorder="1" applyAlignment="1" applyProtection="1">
      <alignment horizontal="center" vertical="center"/>
      <protection hidden="1"/>
    </xf>
    <xf numFmtId="0" fontId="6" fillId="10" borderId="4" xfId="15" applyFont="1" applyFill="1" applyBorder="1" applyAlignment="1" applyProtection="1">
      <alignment horizontal="center" vertical="center"/>
      <protection hidden="1"/>
    </xf>
    <xf numFmtId="0" fontId="6" fillId="10" borderId="6" xfId="15" applyFont="1" applyFill="1" applyBorder="1" applyAlignment="1" applyProtection="1">
      <alignment horizontal="center" vertical="center"/>
      <protection hidden="1"/>
    </xf>
    <xf numFmtId="0" fontId="6" fillId="10" borderId="8" xfId="15" applyFont="1" applyFill="1" applyBorder="1" applyAlignment="1" applyProtection="1">
      <alignment horizontal="center" vertical="center"/>
      <protection hidden="1"/>
    </xf>
    <xf numFmtId="3" fontId="17" fillId="0" borderId="12" xfId="0" applyNumberFormat="1" applyFont="1" applyBorder="1" applyProtection="1">
      <protection hidden="1"/>
    </xf>
    <xf numFmtId="3" fontId="27" fillId="0" borderId="19" xfId="0" applyNumberFormat="1" applyFont="1" applyBorder="1" applyProtection="1">
      <protection hidden="1"/>
    </xf>
    <xf numFmtId="169" fontId="17" fillId="0" borderId="12" xfId="0" applyNumberFormat="1" applyFont="1" applyBorder="1" applyProtection="1">
      <protection hidden="1"/>
    </xf>
    <xf numFmtId="169" fontId="27" fillId="0" borderId="19" xfId="0" applyNumberFormat="1" applyFont="1" applyBorder="1" applyProtection="1">
      <protection hidden="1"/>
    </xf>
    <xf numFmtId="2" fontId="6" fillId="0" borderId="12" xfId="0" applyNumberFormat="1" applyFont="1" applyBorder="1" applyProtection="1">
      <protection hidden="1"/>
    </xf>
    <xf numFmtId="2" fontId="0" fillId="0" borderId="14" xfId="0" applyNumberFormat="1" applyBorder="1" applyProtection="1">
      <protection hidden="1"/>
    </xf>
    <xf numFmtId="179" fontId="17" fillId="0" borderId="79" xfId="0" applyNumberFormat="1" applyFont="1" applyBorder="1" applyProtection="1">
      <protection hidden="1"/>
    </xf>
    <xf numFmtId="179" fontId="27" fillId="0" borderId="81" xfId="0" applyNumberFormat="1" applyFont="1" applyBorder="1" applyProtection="1">
      <protection hidden="1"/>
    </xf>
    <xf numFmtId="2" fontId="6" fillId="0" borderId="6" xfId="0" applyNumberFormat="1" applyFont="1" applyBorder="1" applyProtection="1">
      <protection hidden="1"/>
    </xf>
    <xf numFmtId="2" fontId="0" fillId="0" borderId="7" xfId="0" applyNumberFormat="1" applyBorder="1" applyProtection="1">
      <protection hidden="1"/>
    </xf>
    <xf numFmtId="179" fontId="17" fillId="0" borderId="88" xfId="0" applyNumberFormat="1" applyFont="1" applyBorder="1" applyProtection="1">
      <protection hidden="1"/>
    </xf>
    <xf numFmtId="179" fontId="27" fillId="0" borderId="75" xfId="0" applyNumberFormat="1" applyFont="1" applyBorder="1" applyProtection="1">
      <protection hidden="1"/>
    </xf>
    <xf numFmtId="0" fontId="25" fillId="0" borderId="12" xfId="0" applyFont="1" applyBorder="1" applyAlignment="1">
      <alignment horizontal="center" vertical="center" wrapText="1"/>
    </xf>
    <xf numFmtId="0" fontId="25" fillId="0" borderId="9" xfId="22" applyFont="1" applyBorder="1" applyAlignment="1">
      <alignment horizontal="center" vertical="center" wrapText="1"/>
    </xf>
    <xf numFmtId="0" fontId="25" fillId="0" borderId="11" xfId="22" applyFont="1" applyBorder="1" applyAlignment="1">
      <alignment horizontal="center" vertical="center" wrapText="1"/>
    </xf>
    <xf numFmtId="0" fontId="25" fillId="0" borderId="10" xfId="22" applyFont="1" applyBorder="1" applyAlignment="1">
      <alignment horizontal="center" vertical="center" wrapText="1"/>
    </xf>
    <xf numFmtId="0" fontId="6" fillId="0" borderId="19" xfId="0" applyFont="1" applyBorder="1" applyAlignment="1" applyProtection="1">
      <alignment horizontal="center"/>
      <protection hidden="1"/>
    </xf>
    <xf numFmtId="0" fontId="6" fillId="0" borderId="14" xfId="0" applyFont="1" applyBorder="1" applyAlignment="1" applyProtection="1">
      <alignment horizontal="center"/>
      <protection hidden="1"/>
    </xf>
    <xf numFmtId="170" fontId="6" fillId="13" borderId="1" xfId="0" applyNumberFormat="1" applyFont="1" applyFill="1" applyBorder="1" applyAlignment="1" applyProtection="1">
      <alignment horizontal="center"/>
      <protection hidden="1"/>
    </xf>
    <xf numFmtId="170" fontId="6" fillId="13" borderId="0" xfId="0" applyNumberFormat="1" applyFont="1" applyFill="1" applyAlignment="1" applyProtection="1">
      <alignment horizontal="center"/>
      <protection hidden="1"/>
    </xf>
    <xf numFmtId="170" fontId="6" fillId="13" borderId="5" xfId="0" applyNumberFormat="1" applyFont="1" applyFill="1" applyBorder="1" applyAlignment="1" applyProtection="1">
      <alignment horizontal="center"/>
      <protection hidden="1"/>
    </xf>
    <xf numFmtId="0" fontId="6" fillId="0" borderId="1" xfId="0" applyFont="1" applyBorder="1" applyAlignment="1" applyProtection="1">
      <alignment horizontal="left"/>
      <protection hidden="1"/>
    </xf>
    <xf numFmtId="0" fontId="6" fillId="0" borderId="3" xfId="0" applyFont="1" applyBorder="1" applyAlignment="1" applyProtection="1">
      <alignment horizontal="center"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2" fontId="28" fillId="0" borderId="2" xfId="0" applyNumberFormat="1" applyFont="1" applyBorder="1" applyAlignment="1" applyProtection="1">
      <alignment horizontal="center" vertical="center"/>
      <protection hidden="1"/>
    </xf>
    <xf numFmtId="0" fontId="41" fillId="0" borderId="6" xfId="0" applyFont="1" applyBorder="1" applyAlignment="1" applyProtection="1">
      <alignment vertical="center"/>
      <protection hidden="1"/>
    </xf>
    <xf numFmtId="0" fontId="17" fillId="0" borderId="4" xfId="0" applyFont="1" applyBorder="1" applyAlignment="1" applyProtection="1">
      <alignment vertical="center"/>
      <protection hidden="1"/>
    </xf>
    <xf numFmtId="0" fontId="37" fillId="0" borderId="8" xfId="0" applyFont="1" applyBorder="1" applyAlignment="1" applyProtection="1">
      <alignment vertical="center"/>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2" fontId="17" fillId="0" borderId="2" xfId="0" applyNumberFormat="1" applyFont="1" applyBorder="1" applyAlignment="1" applyProtection="1">
      <alignment horizontal="center" vertical="center"/>
      <protection hidden="1"/>
    </xf>
    <xf numFmtId="2" fontId="17" fillId="0" borderId="6" xfId="0" applyNumberFormat="1" applyFont="1" applyBorder="1" applyAlignment="1" applyProtection="1">
      <alignment horizontal="center" vertical="center"/>
      <protection hidden="1"/>
    </xf>
    <xf numFmtId="38" fontId="28" fillId="0" borderId="3" xfId="16" applyNumberFormat="1" applyFont="1" applyBorder="1" applyAlignment="1" applyProtection="1">
      <alignment vertical="center"/>
      <protection hidden="1"/>
    </xf>
    <xf numFmtId="38" fontId="41" fillId="0" borderId="7" xfId="16" applyNumberFormat="1" applyFont="1" applyBorder="1" applyAlignment="1" applyProtection="1">
      <alignment vertical="center"/>
      <protection hidden="1"/>
    </xf>
    <xf numFmtId="2" fontId="17" fillId="0" borderId="3" xfId="0" applyNumberFormat="1" applyFont="1" applyBorder="1" applyAlignment="1" applyProtection="1">
      <alignment horizontal="center" vertical="center"/>
      <protection hidden="1"/>
    </xf>
    <xf numFmtId="2" fontId="17" fillId="0" borderId="7" xfId="0" applyNumberFormat="1"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8" fontId="17" fillId="0" borderId="3" xfId="16" applyNumberFormat="1" applyFont="1" applyBorder="1" applyAlignment="1" applyProtection="1">
      <alignment vertical="center"/>
      <protection hidden="1"/>
    </xf>
    <xf numFmtId="38" fontId="37" fillId="0" borderId="7" xfId="16" applyNumberFormat="1" applyFont="1" applyBorder="1" applyAlignment="1" applyProtection="1">
      <alignment vertical="center"/>
      <protection hidden="1"/>
    </xf>
    <xf numFmtId="0" fontId="7" fillId="0" borderId="3" xfId="0" applyFont="1" applyBorder="1" applyAlignment="1" applyProtection="1">
      <alignment horizontal="center" vertical="center"/>
      <protection hidden="1"/>
    </xf>
    <xf numFmtId="2" fontId="17" fillId="11" borderId="9" xfId="0" applyNumberFormat="1" applyFont="1" applyFill="1" applyBorder="1" applyAlignment="1" applyProtection="1">
      <alignment horizontal="center" vertical="center"/>
      <protection locked="0"/>
    </xf>
    <xf numFmtId="2" fontId="17" fillId="11" borderId="10" xfId="0" applyNumberFormat="1" applyFont="1" applyFill="1" applyBorder="1" applyAlignment="1" applyProtection="1">
      <alignment horizontal="center" vertical="center"/>
      <protection locked="0"/>
    </xf>
    <xf numFmtId="2" fontId="7" fillId="14" borderId="105" xfId="0" applyNumberFormat="1" applyFont="1" applyFill="1" applyBorder="1" applyAlignment="1" applyProtection="1">
      <alignment horizontal="center"/>
      <protection locked="0"/>
    </xf>
    <xf numFmtId="2" fontId="7" fillId="14" borderId="85" xfId="0" applyNumberFormat="1" applyFont="1" applyFill="1" applyBorder="1" applyAlignment="1" applyProtection="1">
      <alignment horizontal="center"/>
      <protection locked="0"/>
    </xf>
    <xf numFmtId="2" fontId="7" fillId="14" borderId="107" xfId="0" applyNumberFormat="1" applyFont="1" applyFill="1" applyBorder="1" applyAlignment="1" applyProtection="1">
      <alignment horizontal="center"/>
      <protection locked="0"/>
    </xf>
    <xf numFmtId="0" fontId="0" fillId="0" borderId="11" xfId="0" applyBorder="1" applyProtection="1">
      <protection hidden="1"/>
    </xf>
    <xf numFmtId="2" fontId="7" fillId="14" borderId="106" xfId="0" applyNumberFormat="1" applyFont="1" applyFill="1" applyBorder="1" applyAlignment="1" applyProtection="1">
      <alignment horizontal="center"/>
      <protection locked="0"/>
    </xf>
    <xf numFmtId="0" fontId="6" fillId="13" borderId="0" xfId="15" applyFont="1" applyFill="1" applyBorder="1" applyAlignment="1" applyProtection="1">
      <alignment horizontal="center" vertical="center"/>
      <protection hidden="1"/>
    </xf>
    <xf numFmtId="0" fontId="74" fillId="0" borderId="3" xfId="20" quotePrefix="1" applyFont="1" applyBorder="1" applyAlignment="1" applyProtection="1">
      <alignment horizontal="center"/>
      <protection hidden="1"/>
    </xf>
  </cellXfs>
  <cellStyles count="23">
    <cellStyle name="20% - Akzent1_Gründungsplaner 01.2013(1)" xfId="1" xr:uid="{00000000-0005-0000-0000-000000000000}"/>
    <cellStyle name="20% - Akzent2_Gründungsplaner 01.2013(1)" xfId="2" xr:uid="{00000000-0005-0000-0000-000001000000}"/>
    <cellStyle name="20% - Akzent3_Gründungsplaner 01.2013(1)" xfId="3" xr:uid="{00000000-0005-0000-0000-000002000000}"/>
    <cellStyle name="20% - Akzent4_Gründungsplaner 01.2013(1)" xfId="4" xr:uid="{00000000-0005-0000-0000-000003000000}"/>
    <cellStyle name="20% - Akzent5_Gründungsplaner 01.2013(1)" xfId="5" xr:uid="{00000000-0005-0000-0000-000004000000}"/>
    <cellStyle name="20% - Akzent6_Gründungsplaner 01.2013(1)" xfId="6" xr:uid="{00000000-0005-0000-0000-000005000000}"/>
    <cellStyle name="40% - Akzent1_Gründungsplaner 01.2013(1)" xfId="7" xr:uid="{00000000-0005-0000-0000-000006000000}"/>
    <cellStyle name="40% - Akzent2_Gründungsplaner 01.2013(1)" xfId="8" xr:uid="{00000000-0005-0000-0000-000007000000}"/>
    <cellStyle name="40% - Akzent3_Gründungsplaner 01.2013(1)" xfId="9" xr:uid="{00000000-0005-0000-0000-000008000000}"/>
    <cellStyle name="40% - Akzent4_Gründungsplaner 01.2013(1)" xfId="10" xr:uid="{00000000-0005-0000-0000-000009000000}"/>
    <cellStyle name="40% - Akzent5_Gründungsplaner 01.2013(1)" xfId="11" xr:uid="{00000000-0005-0000-0000-00000A000000}"/>
    <cellStyle name="40% - Akzent6_Gründungsplaner 01.2013(1)" xfId="12" xr:uid="{00000000-0005-0000-0000-00000B000000}"/>
    <cellStyle name="Dezimal [0]" xfId="13" builtinId="6"/>
    <cellStyle name="Dezimal_Personalkosten" xfId="14" xr:uid="{00000000-0005-0000-0000-00000D000000}"/>
    <cellStyle name="Komma" xfId="16" builtinId="3"/>
    <cellStyle name="Link" xfId="15" builtinId="8"/>
    <cellStyle name="Prozent" xfId="17" builtinId="5"/>
    <cellStyle name="Standard" xfId="0" builtinId="0"/>
    <cellStyle name="Standard 2" xfId="18" xr:uid="{00000000-0005-0000-0000-000012000000}"/>
    <cellStyle name="Standard_Ba198" xfId="19" xr:uid="{00000000-0005-0000-0000-000013000000}"/>
    <cellStyle name="Standard_Liquiditätsplan" xfId="20" xr:uid="{00000000-0005-0000-0000-000014000000}"/>
    <cellStyle name="Standard_Musterinvestition" xfId="21" xr:uid="{00000000-0005-0000-0000-000015000000}"/>
    <cellStyle name="Standard_Personalkosten" xfId="22" xr:uid="{00000000-0005-0000-0000-000016000000}"/>
  </cellStyles>
  <dxfs count="6">
    <dxf>
      <fill>
        <patternFill>
          <bgColor indexed="10"/>
        </patternFill>
      </fill>
    </dxf>
    <dxf>
      <fill>
        <patternFill>
          <bgColor indexed="10"/>
        </patternFill>
      </fill>
    </dxf>
    <dxf>
      <fill>
        <patternFill>
          <bgColor indexed="10"/>
        </patternFill>
      </fill>
    </dxf>
    <dxf>
      <fill>
        <patternFill>
          <bgColor theme="0"/>
        </patternFill>
      </fill>
      <border>
        <left/>
      </border>
    </dxf>
    <dxf>
      <fill>
        <patternFill>
          <bgColor theme="0" tint="-0.14996795556505021"/>
        </patternFill>
      </fill>
      <border>
        <left style="thin">
          <color indexed="64"/>
        </left>
      </border>
    </dxf>
    <dxf>
      <fill>
        <patternFill>
          <bgColor theme="0"/>
        </patternFill>
      </fill>
      <border>
        <left/>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784860</xdr:colOff>
      <xdr:row>1</xdr:row>
      <xdr:rowOff>175260</xdr:rowOff>
    </xdr:from>
    <xdr:to>
      <xdr:col>8</xdr:col>
      <xdr:colOff>38100</xdr:colOff>
      <xdr:row>4</xdr:row>
      <xdr:rowOff>38100</xdr:rowOff>
    </xdr:to>
    <xdr:pic>
      <xdr:nvPicPr>
        <xdr:cNvPr id="4" name="Grafik 3" descr="Titel: Logo HWK Handwerkskammer Münster">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r="-40" b="-719"/>
        <a:stretch>
          <a:fillRect/>
        </a:stretch>
      </xdr:blipFill>
      <xdr:spPr bwMode="auto">
        <a:xfrm>
          <a:off x="5143500" y="342900"/>
          <a:ext cx="3230880" cy="419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533400</xdr:colOff>
          <xdr:row>0</xdr:row>
          <xdr:rowOff>137160</xdr:rowOff>
        </xdr:from>
        <xdr:to>
          <xdr:col>6</xdr:col>
          <xdr:colOff>198120</xdr:colOff>
          <xdr:row>2</xdr:row>
          <xdr:rowOff>60960</xdr:rowOff>
        </xdr:to>
        <xdr:sp macro="" textlink="">
          <xdr:nvSpPr>
            <xdr:cNvPr id="69634" name="Button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diese Seite drucken</a:t>
              </a:r>
            </a:p>
          </xdr:txBody>
        </xdr:sp>
        <xdr:clientData fPrintsWithSheet="0"/>
      </xdr:twoCellAnchor>
    </mc:Choice>
    <mc:Fallback/>
  </mc:AlternateContent>
  <xdr:twoCellAnchor>
    <xdr:from>
      <xdr:col>0</xdr:col>
      <xdr:colOff>88900</xdr:colOff>
      <xdr:row>0</xdr:row>
      <xdr:rowOff>50800</xdr:rowOff>
    </xdr:from>
    <xdr:to>
      <xdr:col>7</xdr:col>
      <xdr:colOff>550332</xdr:colOff>
      <xdr:row>54</xdr:row>
      <xdr:rowOff>42333</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8900" y="50800"/>
          <a:ext cx="5784849" cy="856403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a:t>
          </a:r>
          <a:b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br>
          <a:endPar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Arbeitsanweisung / Nutzungshinweise</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 Tipp zu Beginn! Drucken Sie diese Arbeitsanweisung für sich aus und legen Sie diese während der Bearbeitung neben sich.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über die Struktur dieses Gründungsplaners: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Gründungsplaners können Sie die wesentlichen Bestandteile einer Planungsrechnung für drei Jahre erstellen, die Sie beispielsweise für die Beantragung eines Darlehens brauchen. Sie verschaffen sich selbst Klarheit, ob Sie von Ihrem Vorhaben auch leben können.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Struktur entspricht der eines Jahresabschlusses, bestehend aus einer Bilanz und einer Gewinn- und Verlustrechnung. Hinzu kommen eine Liquiditätsplanung sowie weitere Hilfsmittel wie eine Umsatzplanung mit verschiedenen Möglichkeiten, die Höhe Ihrer voraussichtlichen Umsätze zu ermitteln.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Kapitalbedarfs- und Finanzierungsplanung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Plan-Bilanz) werden zwei Fragen beantwortet: </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Was habe ich bzw. brauche ich? Die Antwort erfassen Sie im Blatt Kapitalbedarf.</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Woher habe ich das? Von mir selbst oder Anteilseignern: Eigenkapital;  von anderen: Fremdkapital.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Erfasst werden Ihre Antworten im Finanzierungsplan.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Rentabilitätsvorschau</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beantworten Sie die Frage: Was will ich machen?  Genauer: Welche Kosten entstehen mir bei meiner geplanten Tätigkeit als UnternehmerIn (Blätter: Personalkosten und übrige Kosten)?  Wie hoch sind meine privaten Ausgaben (Blatt: Unternehmerlohn)?  Und wie hoch müssen meine Umsätze mindestens sein, damit ich davon leben kann und meine Selbständigkeit tragfähig ist (Blatt: Umsatzplanung)?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Im Einzelnen geht es um die folgenden Bereiche: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Personalkosten: was kosten mich die Mitarbeiter, die ich beschäftigen will?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übrige Kosten: Welche laufenden Kosten entstehen meinem Betrieb?</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Unternehmerlohn: Was will ich für mein Engagement als UnternehmerIn verdienen bzw.:</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Wie hoch sind meine  privaten Ausgaben, die ich mindestens abdecken muss?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Rentabilitätsvorschau: Hier ermitteln Sie unter Berücksichtung des Wareneinsatzes und möglicher Fremdleistungen sowie der schon angeführten Kostenbereiche den für eine tragfähige Selbstständigkeit erforderlichen Mindestumsatz.</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gibt zwei Nebenrechnungen: In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Umsatzplanung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haben Sie verschiedene Möglichkeiten, sich zu verdeutlichen, wie Sie die erforderlichen Mindestumsätze erreichen wollen.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Stundenkostensatz</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verschaffen Sie sich eine Grundlage für die tragfähige Abrechnung von Aufträgen.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Liquiditätsplanung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beantwortet die Frage: Habe ich jeden Monat "genügend Geld in der Tasche"? Für jeden Monat werden die geplanten Einzahlungen den geplanten Auszahlungen gegenübergestellt und ermittelt: Was bleibt übrig? Komme ich mit dem Geld aus? Kann ich neben den betrieblichen Auszahlungen die anfallenden Steuern, meine Privatentnahmen und ggf. die Tilgungen bezahlen.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none" strike="noStrike" kern="0" cap="none" spc="0" normalizeH="0" baseline="0" noProof="0">
            <a:ln>
              <a:noFill/>
            </a:ln>
            <a:solidFill>
              <a:srgbClr val="000000"/>
            </a:solidFill>
            <a:effectLst/>
            <a:uLnTx/>
            <a:uFillTx/>
            <a:latin typeface="MS Sans Serif"/>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MS Sans Serif"/>
              <a:ea typeface="+mn-ea"/>
              <a:cs typeface="+mn-cs"/>
            </a:rPr>
            <a:t>Bitte beachten Sie, dass  bei diesen Planungsrechnungen - mit Ausnahme der Liquiditätsplanung -  die Umsatzsteuer </a:t>
          </a:r>
          <a:r>
            <a:rPr kumimoji="0" lang="de-DE" sz="1000" b="1" i="0" u="none" strike="noStrike" kern="0" cap="none" spc="0" normalizeH="0" baseline="0" noProof="0">
              <a:ln>
                <a:noFill/>
              </a:ln>
              <a:solidFill>
                <a:srgbClr val="000000"/>
              </a:solidFill>
              <a:effectLst/>
              <a:uLnTx/>
              <a:uFillTx/>
              <a:latin typeface="MS Sans Serif"/>
              <a:ea typeface="+mn-ea"/>
              <a:cs typeface="+mn-cs"/>
            </a:rPr>
            <a:t>nicht</a:t>
          </a:r>
          <a:r>
            <a:rPr kumimoji="0" lang="de-DE" sz="1000" b="0" i="0" u="none" strike="noStrike" kern="0" cap="none" spc="0" normalizeH="0" baseline="0" noProof="0">
              <a:ln>
                <a:noFill/>
              </a:ln>
              <a:solidFill>
                <a:srgbClr val="000000"/>
              </a:solidFill>
              <a:effectLst/>
              <a:uLnTx/>
              <a:uFillTx/>
              <a:latin typeface="MS Sans Serif"/>
              <a:ea typeface="+mn-ea"/>
              <a:cs typeface="+mn-cs"/>
            </a:rPr>
            <a:t> berücksichtigt wird. Die Planwerte sind also Netto-Werte.</a:t>
          </a: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145575</xdr:colOff>
      <xdr:row>114</xdr:row>
      <xdr:rowOff>30701</xdr:rowOff>
    </xdr:from>
    <xdr:to>
      <xdr:col>7</xdr:col>
      <xdr:colOff>300565</xdr:colOff>
      <xdr:row>173</xdr:row>
      <xdr:rowOff>133350</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45575" y="18490151"/>
          <a:ext cx="5479465" cy="96562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Finanzierung: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9. Vorhandene Sacheinlagen als  Bestandteil des Eigenkapitals werden automatisch aus dem Blatt Kapitalbedarf übernommen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Tragen Sie  die eigenen Barmittel, die Sie für Ihr Vorhaben einsetzen wollen,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zusätzlich Einlagen in Form von Schenkungen erfassen.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10. Der verbleibende Betrag (vgl.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muss fremdfinanziert werden.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18 - 25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verschiedene Darlehensformen aufgeführt. Benennen Sie bitte die geplanten Darlehen, und geben  die jeweilige Darlehenshöhe  und  die Konditionen vollständig ein. Ein etwaiger Disagio (Minderauszahlung von Darlehen) wird automatisch ermittelt (siehe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beim Kapitalbedarf zusätzlich berücksichtigt (vgl. Blatt: Kapitalbedarf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D28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Darlehenssummen müssen entsprechend erhöht werden.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C29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die Höhe einer ggf. schon bestehenden Kontokorrentinanspruchnahme und in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C30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Höhe eines geplanten Kontokorrentkredits einfügen. Die entsprechenden Zinssätze werden in Spalte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eingetragen</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C34</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C35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können Sie zusätzlich als Fremdfinanzierung geltende Zuschussmittel eintragen. Hierunter fällt beispielsweise die Meistergründungsprämie für HandwerksmeisterInnen.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 von Eigen- und Fremdmitteln muss übereinstimmen mit dem ermittelten Kapitalbedarf. Sonst wird eine Fehlermeldung angezeigt.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Zins und Tilgung: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11. Die Aufstellung des Zins- und Tilgungsplans erfolgt automatisch aufgrund Ihrer Angaben auf dem Arbeitsblatt  "Finanzierung".</a:t>
          </a:r>
        </a:p>
        <a:p>
          <a:pPr marL="0" marR="0" lvl="0" indent="0" defTabSz="914400" rtl="0" eaLnBrk="1" fontAlgn="auto" latinLnBrk="0" hangingPunct="1">
            <a:lnSpc>
              <a:spcPts val="12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beachten ist bei den Programmen:</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Mikromezzanin - Beteiligung und</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ERP - Kapital für Gründung,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dass hierbei zusätzlich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Z8 und Z9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bzw.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AF9 bis AF11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Programmkonditionen einzutragen sind.</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Zins- und Tilgungsbeträge werden in den anderen Tabellen (Ausnahme: Kontokorrentkredit) übernommen, und bei der Liquiditätsplanung monatsgenau ausgerechnet.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Blätter: Personalkosten (1. bis 3. Jahr):</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mit mehr als 8 Mitarbeitern planen, können Sie die Blätter Personalkosten erweitern. Klicken Sie hierzu auf das Plus-Zeichen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22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Dann erweitert sich die Tabelle entsprechend auf maximal 20 Mitarbeiter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12. Überprüfen Sie bitte in dem Tabellenblatt "Personalkosten 1. Jahr" zunächst im Feld</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L6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den (aktuellen durchschnittlichen) Faktor für den Arbeitgeberanteil zur Sozialversicherung. Im Feld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die Arbeitgeberanteile bei den Minijobs bereits erfasst. Hierbei sind auch die Zusatzversorgungskasse und andere Umlagen prozentual zu berücksichtigen.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13. Erfassen Sie dann, wie nachfolgend beschrieben, jede/n geplante/n MitarbeiterIn entweder  einzeln, oder in Gruppen mit gleichem Tätigkeitsbereich;   Es  empfiehlt sich, Voll- und Teilzeitkräfte getrennt aufzulisten.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Name bzw. Tätigkeitsbereich (z.B. "Geselle", "Aushilfe   gewerblich", "Bürokraft", "Auszubildender gewerblich"):  Die </a:t>
          </a:r>
          <a:r>
            <a:rPr lang="de-DE" sz="1000" b="1" i="0" baseline="0">
              <a:effectLst/>
              <a:latin typeface="Arial" pitchFamily="34" charset="0"/>
              <a:ea typeface="+mn-ea"/>
              <a:cs typeface="Arial" pitchFamily="34" charset="0"/>
            </a:rPr>
            <a:t>Inhaberin</a:t>
          </a:r>
          <a:r>
            <a:rPr lang="de-DE" sz="1000" b="0" i="0" baseline="0">
              <a:effectLst/>
              <a:latin typeface="Arial" pitchFamily="34" charset="0"/>
              <a:ea typeface="+mn-ea"/>
              <a:cs typeface="Arial" pitchFamily="34" charset="0"/>
            </a:rPr>
            <a:t>/den </a:t>
          </a:r>
          <a:r>
            <a:rPr lang="de-DE" sz="1000" b="1" i="0" baseline="0">
              <a:effectLst/>
              <a:latin typeface="Arial" pitchFamily="34" charset="0"/>
              <a:ea typeface="+mn-ea"/>
              <a:cs typeface="Arial" pitchFamily="34" charset="0"/>
            </a:rPr>
            <a:t>Inhaber</a:t>
          </a:r>
          <a:r>
            <a:rPr lang="de-DE" sz="1000" b="0" i="0" baseline="0">
              <a:effectLst/>
              <a:latin typeface="Arial" pitchFamily="34" charset="0"/>
              <a:ea typeface="+mn-ea"/>
              <a:cs typeface="Arial" pitchFamily="34" charset="0"/>
            </a:rPr>
            <a:t>  oder die </a:t>
          </a:r>
          <a:r>
            <a:rPr lang="de-DE" sz="1000" b="1" i="0" baseline="0">
              <a:effectLst/>
              <a:latin typeface="Arial" pitchFamily="34" charset="0"/>
              <a:ea typeface="+mn-ea"/>
              <a:cs typeface="Arial" pitchFamily="34" charset="0"/>
            </a:rPr>
            <a:t>Geschäftsführer/in</a:t>
          </a:r>
          <a:r>
            <a:rPr lang="de-DE" sz="1000" b="0" i="0" baseline="0">
              <a:effectLst/>
              <a:latin typeface="Arial" pitchFamily="34" charset="0"/>
              <a:ea typeface="+mn-ea"/>
              <a:cs typeface="Arial" pitchFamily="34" charset="0"/>
            </a:rPr>
            <a:t> (bei Kapitalgesellschaften)  bitte im unteren Tabellenbereich erfassen.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Angabe der Anzahl der Mitarbeiter je Bereich: Bitte nach Kopfzahl eingeben! Sie können - bei einer Kapitalgesellschaft - im unteren Tabellenbereich bis zu drei Geschäftsführer eingeben. Bei einer Personengesellschaft wären die Angaben zum Inhaber zu löschen.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Angabe des Beginns des Arbeitsverhältnisses: Geben Sie das gewünschte Einstellungsdatum (TT.MM.JJ) ein. Sollte ein Mitarbeiter das ganze Jahr bei Ihnen beschäftigt werden sollen, müssen Sie keine Eingaben vornehmen. Die Berechnung des Gehaltes erfolgt immer auf den vollen Monat (bspw. auch bei Einstellungsdatum zum 15.03.2020).</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146050</xdr:colOff>
      <xdr:row>174</xdr:row>
      <xdr:rowOff>102777</xdr:rowOff>
    </xdr:from>
    <xdr:to>
      <xdr:col>7</xdr:col>
      <xdr:colOff>319783</xdr:colOff>
      <xdr:row>236</xdr:row>
      <xdr:rowOff>47625</xdr:rowOff>
    </xdr:to>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146050" y="28277727"/>
          <a:ext cx="5498208" cy="99841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de-DE" sz="1000" b="1" i="0" baseline="0">
              <a:effectLst/>
              <a:latin typeface="Arial" pitchFamily="34" charset="0"/>
              <a:ea typeface="+mn-ea"/>
              <a:cs typeface="Arial" pitchFamily="34" charset="0"/>
            </a:rPr>
            <a:t>Anmerkung</a:t>
          </a:r>
          <a:r>
            <a:rPr lang="de-DE" sz="1000" b="0" i="0" baseline="0">
              <a:effectLst/>
              <a:latin typeface="Arial" pitchFamily="34" charset="0"/>
              <a:ea typeface="+mn-ea"/>
              <a:cs typeface="Arial" pitchFamily="34" charset="0"/>
            </a:rPr>
            <a:t>: Gehen Sie dabei von dem in Zeile 4 angegebenen Planungszeitraum aus, der vom Kalenderjahr abweichen kann.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de-DE" sz="1000" b="1" i="0" baseline="0">
            <a:effectLst/>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Spalte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Eingabe des Beendigungsmonates eines Beschäftigungsverhältnisses. (Beachten Sie die Anmerkung zum Beginn des Arbeitsverhältnisses)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den darauf folgenden Spalten geben Sie die notwendigen Angaben zum Bruttogehalt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oder alternativ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zum Stundenlohn und zur Arbeitszeit der Mitarbeiter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Erfassen Sie darüber hinaus tarifliche Zusatzgehälter in Prozent (z.B. Urlaubs- und Weihnachtsgeld) und/oder sonstige Zahlungen pro Arbeitnehmer in Euro (z.B. Arbeitgeberzuschuss zu vermögenswirksamen Leistungen, Direktversicherung, Firmenwagen etc.).</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Im unteren Bereich der Tabelle finden sich Angaben der Beiträge zur Berufsgenossenschaft und sonstige Beiträge / den Personalkosten zuzuordnende Kosten (z.B. SOKA-BAU).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14. Wenn Sie zusätzliche Angaben zur Produktivität ermitteln wollen, beachten Sie die Plus-Zeichen am Linken Tabellenrand sowie oberhalb der Tabelle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Beachten Sie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Um die Mitarbeiterproduktivität auszurechnen, müssen zunächst im Blatt Rentabilität die Planumsätze und ggf. die Fremdleistungen eingegeben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Der zeitliche Arbeitsanteil eines Vollzeit-Mitarbeiters, im Verhältnis zu einer ganzjährig beschäftigten Vollzeitkraft wird bereits automatisch erfasst.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der folgenden Spalte können sie einen Prozentwert angeben, mit dem Sie den produktiven Arbeitsanteil des Mitarbeiters erfassen: Zum Beispiel 15% für einen gewerblichen Auszubildenden im 1. Ausbildungsjahr, 90% für einen Vollzeit - Gesellen, 0% für Bürokräfte.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Inhaber bzw. geschäftsführende (Mit-)Gesellschafter sind genauso wie Arbeitnehmer mit Ihrer  Produktivität zu berücksichtigen.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Wiederholen Sie die beschriebenen Schritte  zur Ermittlung der Personalkosten für das zweite und dritte Geschäftsjahr auf den Arbeisblättern "Personalkosten 2. Jahr" und "Personalkosten 3. Jahr".</a:t>
          </a:r>
        </a:p>
        <a:p>
          <a:pPr algn="l" rtl="0">
            <a:defRPr sz="1000"/>
          </a:pPr>
          <a:endParaRPr lang="de-DE" sz="1000" b="0" i="0" u="none" strike="noStrike" baseline="0">
            <a:solidFill>
              <a:srgbClr val="000000"/>
            </a:solidFill>
            <a:latin typeface="Arial" pitchFamily="34" charset="0"/>
            <a:cs typeface="Arial" pitchFamily="34" charset="0"/>
          </a:endParaRPr>
        </a:p>
        <a:p>
          <a:pPr algn="l" rtl="0">
            <a:defRPr sz="1000"/>
          </a:pPr>
          <a:endParaRPr lang="de-DE" sz="1000" b="0" i="0" u="none" strike="noStrike" baseline="0">
            <a:solidFill>
              <a:srgbClr val="000000"/>
            </a:solidFill>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Übrige Kosten</a:t>
          </a:r>
          <a:br>
            <a:rPr lang="de-DE" sz="1000" b="1" i="0" u="sng" baseline="0">
              <a:effectLst/>
              <a:latin typeface="Arial" pitchFamily="34" charset="0"/>
              <a:ea typeface="+mn-ea"/>
              <a:cs typeface="Arial" pitchFamily="34" charset="0"/>
            </a:rPr>
          </a:br>
          <a:br>
            <a:rPr lang="de-DE" sz="1000" b="1" i="0" u="sng"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15. Hier können Sie alle übrigen Kostenarten, die in Ihrem Betrieb entstehen, erfassen. Bei der Gliederung der Kostenarten haben wir uns grob am DATEV Kontenrahmen SKR 04 orientiert. </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Die langfristigen Zinskosten sowie die Abschreibungen, werden übernommen.</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Machen Sie die Angaben bitte in den Zellen </a:t>
          </a:r>
          <a:r>
            <a:rPr lang="de-DE" sz="1000" b="1" i="0" baseline="0">
              <a:effectLst/>
              <a:latin typeface="Arial" pitchFamily="34" charset="0"/>
              <a:ea typeface="+mn-ea"/>
              <a:cs typeface="Arial" pitchFamily="34" charset="0"/>
            </a:rPr>
            <a:t>C10</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C29</a:t>
          </a:r>
          <a:r>
            <a:rPr lang="de-DE" sz="1000" b="0" i="0" baseline="0">
              <a:effectLst/>
              <a:latin typeface="Arial" pitchFamily="34" charset="0"/>
              <a:ea typeface="+mn-ea"/>
              <a:cs typeface="Arial" pitchFamily="34" charset="0"/>
            </a:rPr>
            <a:t> für das 1. Geschäftsjahr, </a:t>
          </a:r>
          <a:r>
            <a:rPr lang="de-DE" sz="1000" b="1" i="0" baseline="0">
              <a:effectLst/>
              <a:latin typeface="Arial" pitchFamily="34" charset="0"/>
              <a:ea typeface="+mn-ea"/>
              <a:cs typeface="Arial" pitchFamily="34" charset="0"/>
            </a:rPr>
            <a:t>E10</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E29</a:t>
          </a:r>
          <a:r>
            <a:rPr lang="de-DE" sz="1000" b="0" i="0" baseline="0">
              <a:effectLst/>
              <a:latin typeface="Arial" pitchFamily="34" charset="0"/>
              <a:ea typeface="+mn-ea"/>
              <a:cs typeface="Arial" pitchFamily="34" charset="0"/>
            </a:rPr>
            <a:t> für das 2. Geschäftsjahr und </a:t>
          </a:r>
          <a:r>
            <a:rPr lang="de-DE" sz="1000" b="1" i="0" baseline="0">
              <a:effectLst/>
              <a:latin typeface="Arial" pitchFamily="34" charset="0"/>
              <a:ea typeface="+mn-ea"/>
              <a:cs typeface="Arial" pitchFamily="34" charset="0"/>
            </a:rPr>
            <a:t>G10 </a:t>
          </a:r>
          <a:r>
            <a:rPr lang="de-DE" sz="1000" b="0" i="0" baseline="0">
              <a:effectLst/>
              <a:latin typeface="Arial" pitchFamily="34" charset="0"/>
              <a:ea typeface="+mn-ea"/>
              <a:cs typeface="Arial" pitchFamily="34" charset="0"/>
            </a:rPr>
            <a:t>bis </a:t>
          </a:r>
          <a:r>
            <a:rPr lang="de-DE" sz="1000" b="1" i="0" baseline="0">
              <a:effectLst/>
              <a:latin typeface="Arial" pitchFamily="34" charset="0"/>
              <a:ea typeface="+mn-ea"/>
              <a:cs typeface="Arial" pitchFamily="34" charset="0"/>
            </a:rPr>
            <a:t>G29</a:t>
          </a:r>
          <a:r>
            <a:rPr lang="de-DE" sz="1000" b="0" i="0" baseline="0">
              <a:effectLst/>
              <a:latin typeface="Arial" pitchFamily="34" charset="0"/>
              <a:ea typeface="+mn-ea"/>
              <a:cs typeface="Arial" pitchFamily="34" charset="0"/>
            </a:rPr>
            <a:t> für das 3. Geschäftsjahr.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16. In den Zeilen </a:t>
          </a:r>
          <a:r>
            <a:rPr lang="de-DE" sz="1000" b="1" i="0" baseline="0">
              <a:effectLst/>
              <a:latin typeface="Arial" pitchFamily="34" charset="0"/>
              <a:ea typeface="+mn-ea"/>
              <a:cs typeface="Arial" pitchFamily="34" charset="0"/>
            </a:rPr>
            <a:t>34 </a:t>
          </a:r>
          <a:r>
            <a:rPr lang="de-DE" sz="1000" b="0" i="0" baseline="0">
              <a:effectLst/>
              <a:latin typeface="Arial" pitchFamily="34" charset="0"/>
              <a:ea typeface="+mn-ea"/>
              <a:cs typeface="Arial" pitchFamily="34" charset="0"/>
            </a:rPr>
            <a:t>und</a:t>
          </a:r>
          <a:r>
            <a:rPr lang="de-DE" sz="1000" b="1" i="0" baseline="0">
              <a:effectLst/>
              <a:latin typeface="Arial" pitchFamily="34" charset="0"/>
              <a:ea typeface="+mn-ea"/>
              <a:cs typeface="Arial" pitchFamily="34" charset="0"/>
            </a:rPr>
            <a:t> 35</a:t>
          </a:r>
          <a:r>
            <a:rPr lang="de-DE" sz="1000" b="0" i="0" baseline="0">
              <a:effectLst/>
              <a:latin typeface="Arial" pitchFamily="34" charset="0"/>
              <a:ea typeface="+mn-ea"/>
              <a:cs typeface="Arial" pitchFamily="34" charset="0"/>
            </a:rPr>
            <a:t> werden die Gewerbesteuer und, abhängig von der Rechtsform, die Körperschaftssteuer grob ermittelt. Erforderlich ist hierfür das ausgefüllte Blatt Rentabilität.</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Zur groben Ermittlung der Gewerbesteuer muss in  Zelle </a:t>
          </a:r>
          <a:r>
            <a:rPr lang="de-DE" sz="1000" b="1" i="0" baseline="0">
              <a:effectLst/>
              <a:latin typeface="Arial" pitchFamily="34" charset="0"/>
              <a:ea typeface="+mn-ea"/>
              <a:cs typeface="Arial" pitchFamily="34" charset="0"/>
            </a:rPr>
            <a:t>B34 </a:t>
          </a:r>
          <a:r>
            <a:rPr lang="de-DE" sz="1000" b="0" i="0" baseline="0">
              <a:effectLst/>
              <a:latin typeface="Arial" pitchFamily="34" charset="0"/>
              <a:ea typeface="+mn-ea"/>
              <a:cs typeface="Arial" pitchFamily="34" charset="0"/>
            </a:rPr>
            <a:t>der örtliche Gewerbesteuerhebesatz angegeben werden. </a:t>
          </a:r>
          <a:endParaRPr lang="de-DE" sz="1000">
            <a:effectLst/>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Unternehmerlohn: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17. In diesem Blatt wird unterschieden zwischen dem notwendigen und dem geplanten Unternehmerlohn.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notwendige Unternehmerlohn</a:t>
          </a:r>
          <a:r>
            <a:rPr lang="de-DE" sz="1000" b="0" i="0" baseline="0">
              <a:effectLst/>
              <a:latin typeface="Arial" pitchFamily="34" charset="0"/>
              <a:ea typeface="+mn-ea"/>
              <a:cs typeface="Arial" pitchFamily="34" charset="0"/>
            </a:rPr>
            <a:t> stellt die Untergrenze dar. Durch ihn werden Ihre Privatausgaben, einschließlich Privatversicherungen und Privatsteuern abgedeckt, unter Berücksichtiung sonstiger Einnahmen. Der notwendige Unternehmerlohn wird zunächst in den geplanten Unternehmerlohn übertragen. Dieser kann jedoch jederzeit überschrieben werden.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geplante Unternehmerlohn </a:t>
          </a:r>
          <a:r>
            <a:rPr lang="de-DE" sz="1000" b="0" i="0" baseline="0">
              <a:effectLst/>
              <a:latin typeface="Arial" pitchFamily="34" charset="0"/>
              <a:ea typeface="+mn-ea"/>
              <a:cs typeface="Arial" pitchFamily="34" charset="0"/>
            </a:rPr>
            <a:t>entspricht dem</a:t>
          </a:r>
          <a:r>
            <a:rPr lang="de-DE" sz="1000" b="1" i="0" baseline="0">
              <a:effectLst/>
              <a:latin typeface="Arial" pitchFamily="34" charset="0"/>
              <a:ea typeface="+mn-ea"/>
              <a:cs typeface="Arial" pitchFamily="34" charset="0"/>
            </a:rPr>
            <a:t> kalkulatorischen Unternehmerlohn</a:t>
          </a:r>
          <a:r>
            <a:rPr lang="de-DE" sz="1000" b="0" i="0" baseline="0">
              <a:effectLst/>
              <a:latin typeface="Arial" pitchFamily="34" charset="0"/>
              <a:ea typeface="+mn-ea"/>
              <a:cs typeface="Arial" pitchFamily="34" charset="0"/>
            </a:rPr>
            <a:t>. Er umfasst Ihre persönlichen Gewinnvorstellungen, durch die Ihr Arbeitseinsatz als Unternehmer sowie ein Zuschlag für Wagnis und Gewinn abgedeckt werden.</a:t>
          </a:r>
        </a:p>
        <a:p>
          <a:pPr rtl="0" eaLnBrk="1" fontAlgn="auto" latinLnBrk="0" hangingPunct="1"/>
          <a:r>
            <a:rPr lang="de-DE" sz="1000" b="0" i="0" baseline="0">
              <a:effectLst/>
              <a:latin typeface="Arial" pitchFamily="34" charset="0"/>
              <a:ea typeface="+mn-ea"/>
              <a:cs typeface="Arial" pitchFamily="34" charset="0"/>
            </a:rPr>
            <a:t>(Mit einem Klick auf das Pluszeichen über Spalte </a:t>
          </a:r>
          <a:r>
            <a:rPr lang="de-DE" sz="1000" b="1" i="0" baseline="0">
              <a:effectLst/>
              <a:latin typeface="Arial" pitchFamily="34" charset="0"/>
              <a:ea typeface="+mn-ea"/>
              <a:cs typeface="Arial" pitchFamily="34" charset="0"/>
            </a:rPr>
            <a:t>AJ</a:t>
          </a:r>
          <a:r>
            <a:rPr lang="de-DE" sz="1000" b="0" i="0" baseline="0">
              <a:effectLst/>
              <a:latin typeface="Arial" pitchFamily="34" charset="0"/>
              <a:ea typeface="+mn-ea"/>
              <a:cs typeface="Arial" pitchFamily="34" charset="0"/>
            </a:rPr>
            <a:t> können bis zu zwei weitere Gesellschafter hinzugefügt werden. Diese Funktion ist grundsätzlich gesperrt. Zum Freischalten wird ein Passwort benötigt, das den Erstellern des Gründungsplaners vorliegt - Kontakt siehe unten.)</a:t>
          </a:r>
          <a:endParaRPr lang="de-DE" sz="1000" b="1">
            <a:effectLst/>
            <a:latin typeface="Arial" pitchFamily="34" charset="0"/>
            <a:cs typeface="Arial" pitchFamily="34" charset="0"/>
          </a:endParaRPr>
        </a:p>
        <a:p>
          <a:pPr algn="l" rtl="0">
            <a:lnSpc>
              <a:spcPts val="1500"/>
            </a:lnSpc>
            <a:defRPr sz="1000"/>
          </a:pPr>
          <a:endParaRPr lang="de-DE"/>
        </a:p>
      </xdr:txBody>
    </xdr:sp>
    <xdr:clientData/>
  </xdr:twoCellAnchor>
  <xdr:twoCellAnchor>
    <xdr:from>
      <xdr:col>0</xdr:col>
      <xdr:colOff>154610</xdr:colOff>
      <xdr:row>237</xdr:row>
      <xdr:rowOff>156869</xdr:rowOff>
    </xdr:from>
    <xdr:to>
      <xdr:col>7</xdr:col>
      <xdr:colOff>65710</xdr:colOff>
      <xdr:row>293</xdr:row>
      <xdr:rowOff>4803</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154610" y="38203358"/>
          <a:ext cx="5219415" cy="88378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a:ln>
                <a:noFill/>
              </a:ln>
              <a:solidFill>
                <a:srgbClr val="000000"/>
              </a:solidFill>
              <a:effectLst/>
              <a:uLnTx/>
              <a:uFillTx/>
              <a:latin typeface="Arial" pitchFamily="34" charset="0"/>
              <a:ea typeface="+mn-ea"/>
              <a:cs typeface="Arial" pitchFamily="34" charset="0"/>
            </a:rPr>
            <a:t>Im Programm wird immer mit dem geplanten Unternehmerlohn gerechnet. Dieser sollte mindestens gleich oder höher als Ihr notwendiger Unternehmerlohn sein.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Ermittlung des Unternehmerlohns: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18. Zur Ermittlung ihres notwendigen Untenehmerlohns tragen Sie Ihre privaten  Ausgaben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13 - 26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Private Einnahmen erfassen Sie bitte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30 - 34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Summen werden dann zunächst automatisch in den geplanten Unternehmerlohn übertragen.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  Die Höhe Ihres geplanten Unternehmerlohns können Sie anpassen, indem Sie neue 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F43 bis J43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eingeben.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Bei einem Gesellschafter-Geschäftsführer einer Kapitalgesellschaft wird davon ausgegangen, dass die Entgeltvorstellungen bereits im Geschäftsführergehalt berücksichtigt sind. Sie können die Tabelle der Vollständigkeit halber dennoch ausfüllen und das Ergebnis bei den Personalkosten berücksichtigen.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19a. In einer Nebenrechnung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49 - 68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können Sie in Zusammenarbeit mit der Arbeitsagentur oder dem Jobcenter die Höhe einer Unterstützung durch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Gründerzuschuss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oder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Einstiegsgeld</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ermitteln. Die Ergebnisse werden in der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übernommen, und in der Liquiditätsplanung entsprechend auf die Monate verteilt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Umsatzplanung: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Mindestumsatzbedarf:</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20. Die Ermittlung des Mindestumsatzes zeigt Ihnen, welchen Umsatz Sie mindestens erzielen müssen, um die betrieblichen Kosten und den Unternehmerlohn abzudecken. Die Berechnung ist wichig, damit Sie ein Gespür für den Umfang Ihrer notwendigen Aktivitäten für die Auftragsbeschaffung erhalten.</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 der Materialeinsatz als variabel eingestuft wird, müssen Sie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jeweils die durchschnittlich erwartete Materialeinsatzquote Ihres Betriebes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Möglichkeiten der Umsatzberechnung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den folgenden Rechnungen haben Sie verschiedene Möglichkeiten zur Abschätzung, ob Sie den erforderlichen Mindestumsatz auch erreichen können.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21.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kapazitätsorientierte 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ist vor allem für Bau- und Ausbaugewerbe geeignet.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22.  Die Umsatzplanung in Anlehnung an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Kunden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der Öffnungszeiten kann beispielsweise bei Friseuren eingesetzt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Hilfstabelle können Sie zur "Schätzung" ihres geplanten "Durchschnittsumsatzes je Kunden" nutzen. Setzen Sie hier typische Umsatzarten mit den jeweilig geschätzten Anteilen am Gesamtumsatz und den jeweiligen Preisen ein. Da Sie hier nur einige Umsatzarten erfassen können, ergibt die Summe dieser typischen Umsatzarten weniger als 100% Umsatzanteile.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23. Besonders für Produktionsbetriebe aber darüber hinaus für alle Betriebe ist eine Orientierung an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Aufträge, Kunden- oder Produktgruppen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hilfreich.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Sie können zur leichteren Abschätzung der möglichen Aufträge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den Zeitraum (Tag, Woche, Monat oder Jahr) eingeben, den Sie am besten überblicken. In der Tabelle werden automatisch die Anzahl der Aufträge und die Umsätze für die anderen Zeiträume ermittelt.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1000" b="0" i="0" baseline="0">
              <a:effectLst/>
              <a:latin typeface="Arial" pitchFamily="34" charset="0"/>
              <a:ea typeface="+mn-ea"/>
              <a:cs typeface="Arial" pitchFamily="34" charset="0"/>
            </a:rPr>
            <a:t>Zusätzlich können Sie in Zelle </a:t>
          </a:r>
          <a:r>
            <a:rPr lang="de-DE" sz="1000" b="1" i="0" baseline="0">
              <a:effectLst/>
              <a:latin typeface="Arial" pitchFamily="34" charset="0"/>
              <a:ea typeface="+mn-ea"/>
              <a:cs typeface="Arial" pitchFamily="34" charset="0"/>
            </a:rPr>
            <a:t>N114</a:t>
          </a:r>
          <a:r>
            <a:rPr lang="de-DE" sz="1000" b="0" i="0" baseline="0">
              <a:effectLst/>
              <a:latin typeface="Arial" pitchFamily="34" charset="0"/>
              <a:ea typeface="+mn-ea"/>
              <a:cs typeface="Arial" pitchFamily="34" charset="0"/>
            </a:rPr>
            <a:t> die Anzahl der Wochentage festlegen, an denen Sie arbeiten (vorgegeben sind 5 Arbeitstage/Woche), und in Zelle </a:t>
          </a:r>
          <a:r>
            <a:rPr lang="de-DE" sz="1000" b="1" i="0" baseline="0">
              <a:effectLst/>
              <a:latin typeface="Arial" pitchFamily="34" charset="0"/>
              <a:ea typeface="+mn-ea"/>
              <a:cs typeface="Arial" pitchFamily="34" charset="0"/>
            </a:rPr>
            <a:t>N116</a:t>
          </a:r>
          <a:r>
            <a:rPr lang="de-DE" sz="1000" b="0" i="0" baseline="0">
              <a:effectLst/>
              <a:latin typeface="Arial" pitchFamily="34" charset="0"/>
              <a:ea typeface="+mn-ea"/>
              <a:cs typeface="Arial" pitchFamily="34" charset="0"/>
            </a:rPr>
            <a:t> die Anzahl der Monate (vorgegeben sind 12 Monate). </a:t>
          </a:r>
          <a:endParaRPr lang="de-DE">
            <a:effectLst/>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175683</xdr:colOff>
      <xdr:row>295</xdr:row>
      <xdr:rowOff>23479</xdr:rowOff>
    </xdr:from>
    <xdr:to>
      <xdr:col>7</xdr:col>
      <xdr:colOff>408516</xdr:colOff>
      <xdr:row>347</xdr:row>
      <xdr:rowOff>107113</xdr:rowOff>
    </xdr:to>
    <xdr:sp macro="" textlink="">
      <xdr:nvSpPr>
        <xdr:cNvPr id="12" name="Text Box 9">
          <a:extLst>
            <a:ext uri="{FF2B5EF4-FFF2-40B4-BE49-F238E27FC236}">
              <a16:creationId xmlns:a16="http://schemas.microsoft.com/office/drawing/2014/main" id="{00000000-0008-0000-0100-00000C000000}"/>
            </a:ext>
          </a:extLst>
        </xdr:cNvPr>
        <xdr:cNvSpPr txBox="1">
          <a:spLocks noChangeArrowheads="1"/>
        </xdr:cNvSpPr>
      </xdr:nvSpPr>
      <xdr:spPr bwMode="auto">
        <a:xfrm>
          <a:off x="175683" y="47380923"/>
          <a:ext cx="5541148" cy="84206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Rentabilität:</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24.  Beziffern Sie Ihre Planumsätze für drei Geschäftsjahre.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keine Unterscheidung vornehmen wollen, erfassen Sie den jährlichen Gesamtumsatz  in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F12 bzw. H12 und J12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Alternativ können Sie auch nach bis zu 10 Umsatzbereichen (erweiterbar über die Plus-Zeichen am linken Tabellenrand) differenzieren, diese benennen und  die jeweiligen Umsatzwerte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F12 bis F15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F21) für das 1. Geschäftsjahr,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H12 bis H15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H21) für das 2. Geschäftsjahr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J12 bis J15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J21) für das 3. Geschäftsjahr eintragen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25. Tragen Sie eventuell in Anspruch genommene Fremdleistungen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F23, H23 und J23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ihrem Einkaufswert 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26. Sie können den einzelnen Leistungsbereichen jeweils eine Materialeinsatzquote zuordnen. Dann wird automatisch der jeweilige Materialeinsatz pro Bereich sowie insgesamt berechnet. Geben Sie die Materialeinsatzquoten bitte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G24 bis G27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G33) sowie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I24 bis I27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I33)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K24 bis K27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K33) ein. Bei einem einzigen Leistungsbereich müssen Sie die Quote für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G24, G24 und K24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(Hinweis: Sollten Sie z.T. dem ermäßigten Umsatzsteuersatz von 7% unterworfen sein, klicken Sie auf das Plus-Zeichen über der Spalte F, um entsprechende Anpassungen vorzunehmen.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27. Die Personalkosten und die übrigen Kosten  werden aus den entsprechenden Tabellen übernommen. Damit sind alle Daten für das Betriebsergebnis vorhanden.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28.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werden die Gewerbesteuer und - bei Kapitalgesellschaften (einzutragen im Listenfeld auf der Startseite,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die Körperschaftssteuer  grob ermittelt.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29. Weiterhin wird der Gewinn um die nicht ausgabewirksamen Abschreibungen,  die  Tilgungsleistungen für die betrieblichen Darlehen und den Unternehmerlohn verringert. In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46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wird so ein frei verfügbares Einkommen ermittelt, das beispielsweise für die Bildung von Rücklagen genutzt werden kann.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Stundenkostensatz</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30. Sie können hier den Stundenkostensatz ermitteln, der auf den in der Rentabilitätsvorschau eingegebenen Werten für  drei Geschäftsjahre basiert. Sie erstellen mit dem Stundenkostensatz  einen wesentlichen Baustein  für Ihre Auftragskalkulation.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31. In Zelle </a:t>
          </a:r>
          <a:r>
            <a:rPr lang="de-DE" sz="1000" b="1" i="0" baseline="0">
              <a:effectLst/>
              <a:latin typeface="Arial" pitchFamily="34" charset="0"/>
              <a:ea typeface="+mn-ea"/>
              <a:cs typeface="Arial" pitchFamily="34" charset="0"/>
            </a:rPr>
            <a:t>E8</a:t>
          </a:r>
          <a:r>
            <a:rPr lang="de-DE" sz="1000" b="0" i="0" baseline="0">
              <a:effectLst/>
              <a:latin typeface="Arial" pitchFamily="34" charset="0"/>
              <a:ea typeface="+mn-ea"/>
              <a:cs typeface="Arial" pitchFamily="34" charset="0"/>
            </a:rPr>
            <a:t>  geben Sie das Geschäftsjahr an, auf  dessen Basis Sie den Stundenkostensatz kalkulieren wollen. Die entsprechenden Jahreswerte aus der Rentabilitäsvorschau werden übernommen. Diese  Werte können Sie  bei Bedarf abändern. Die Umsatz- und Materialeinsatzbereiche können Sie über die Plus-Zeichen am linken Tabellenrand entsprechend erweitern (Diese Funktion ist grundsätzlich gesperrt. Zum Freischalten wird ein Passwort benötigt, das den Erstellern des Gründungsplaners vorliegt - Kontakt siehe unten).</a:t>
          </a:r>
        </a:p>
        <a:p>
          <a:pPr rtl="0" eaLnBrk="1" fontAlgn="auto" latinLnBrk="0" hangingPunct="1"/>
          <a:r>
            <a:rPr lang="de-DE" sz="1000" b="0" i="0" baseline="0">
              <a:effectLst/>
              <a:latin typeface="Arial" pitchFamily="34" charset="0"/>
              <a:ea typeface="+mn-ea"/>
              <a:cs typeface="Arial" pitchFamily="34" charset="0"/>
            </a:rPr>
            <a:t>In Zelle </a:t>
          </a:r>
          <a:r>
            <a:rPr lang="de-DE" sz="1000" b="1" i="0" baseline="0">
              <a:effectLst/>
              <a:latin typeface="Arial" pitchFamily="34" charset="0"/>
              <a:ea typeface="+mn-ea"/>
              <a:cs typeface="Arial" pitchFamily="34" charset="0"/>
            </a:rPr>
            <a:t>D43</a:t>
          </a:r>
          <a:r>
            <a:rPr lang="de-DE" sz="1000" b="0" i="0" baseline="0">
              <a:effectLst/>
              <a:latin typeface="Arial" pitchFamily="34" charset="0"/>
              <a:ea typeface="+mn-ea"/>
              <a:cs typeface="Arial" pitchFamily="34" charset="0"/>
            </a:rPr>
            <a:t> können Sie den im Blatt Unternehmerlohn ermittelten Unternehmerlohn überarbeiten und um weitere kalkulatorische Kosten, beispielsweise um eine kalkulatorische Miete,  in Zelle </a:t>
          </a:r>
          <a:r>
            <a:rPr lang="de-DE" sz="1000" b="1" i="0" baseline="0">
              <a:effectLst/>
              <a:latin typeface="Arial" pitchFamily="34" charset="0"/>
              <a:ea typeface="+mn-ea"/>
              <a:cs typeface="Arial" pitchFamily="34" charset="0"/>
            </a:rPr>
            <a:t>D44</a:t>
          </a:r>
          <a:r>
            <a:rPr lang="de-DE" sz="1000" b="0" i="0" baseline="0">
              <a:effectLst/>
              <a:latin typeface="Arial" pitchFamily="34" charset="0"/>
              <a:ea typeface="+mn-ea"/>
              <a:cs typeface="Arial" pitchFamily="34" charset="0"/>
            </a:rPr>
            <a:t> ergänzen.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32. Ihre  Fremdleistungen und Ihre bezogenen Waren können Sie den Kunden mit Aufschlägen in Rechnung stellen.  In den Zellen</a:t>
          </a:r>
          <a:r>
            <a:rPr lang="de-DE" sz="1000" b="1" i="0" baseline="0">
              <a:effectLst/>
              <a:latin typeface="Arial" pitchFamily="34" charset="0"/>
              <a:ea typeface="+mn-ea"/>
              <a:cs typeface="Arial" pitchFamily="34" charset="0"/>
            </a:rPr>
            <a:t> I24 bis I28 </a:t>
          </a:r>
          <a:r>
            <a:rPr lang="de-DE" sz="1000" b="0" i="0" baseline="0">
              <a:effectLst/>
              <a:latin typeface="Arial" pitchFamily="34" charset="0"/>
              <a:ea typeface="+mn-ea"/>
              <a:cs typeface="Arial" pitchFamily="34" charset="0"/>
            </a:rPr>
            <a:t>(erweitert bis I34) können Sie für die verschiendenen Bereiche jeweils Aufschläge in %-Werten eingeben. Im Zellbereich</a:t>
          </a:r>
          <a:r>
            <a:rPr lang="de-DE" sz="1000" b="1" i="0" baseline="0">
              <a:effectLst/>
              <a:latin typeface="Arial" pitchFamily="34" charset="0"/>
              <a:ea typeface="+mn-ea"/>
              <a:cs typeface="Arial" pitchFamily="34" charset="0"/>
            </a:rPr>
            <a:t> G35 bis J35</a:t>
          </a:r>
          <a:r>
            <a:rPr lang="de-DE" sz="1000" b="0" i="0" baseline="0">
              <a:effectLst/>
              <a:latin typeface="Arial" pitchFamily="34" charset="0"/>
              <a:ea typeface="+mn-ea"/>
              <a:cs typeface="Arial" pitchFamily="34" charset="0"/>
            </a:rPr>
            <a:t> wird die Summe der Aufschläge   ermittelt und dann von den Gesamtkosten abgezogen. Übrig bleiben die  über den Stundenkostensatz abzurechnenden Kosten.</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166170</xdr:colOff>
      <xdr:row>349</xdr:row>
      <xdr:rowOff>14214</xdr:rowOff>
    </xdr:from>
    <xdr:to>
      <xdr:col>7</xdr:col>
      <xdr:colOff>166170</xdr:colOff>
      <xdr:row>400</xdr:row>
      <xdr:rowOff>159227</xdr:rowOff>
    </xdr:to>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166170" y="56029776"/>
          <a:ext cx="5308315" cy="83322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33. Im nächsten Schritt werden im Zellbereich</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A65 bis N80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abrechenbaren produktiven Stunden ermittelt. Dazu  sind in drei  Bereichen Ihre eigenen abrechenbaren Stunden, die der gewerblichen Mitarbeiter und die der Auszubildenden zu errechnen. Berücksichtigt werden dabei die Anzahl der Wochenstunden,  die  Fehlzeiten  durch Feiertage, Urlaubs- und Krankheitstage sowie sonstige Fehlzeiten. Auch werden die unproduktiven Zeiten erfasst.  Es handelt sich hier um Durchschnittswerte pro Person,  die Sie mit der Anzahl der Mitarbeiter in den drei Bereichen multiplizieren müssen.  Ergebnis sind die abrechenbaren Jahresstunden.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34. Der Stundenkostensatz wird im Zellbereich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A84 bis K87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ermittelt, indem die über die Stunden abzurechnenden Kosten durch die Summe der abrechenbaren Stunden geteilt wird.</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Durch Veränderung beispielsweise der  Krankheitsdauer, der Zuschlagssätze, oder der produktiven Stunden kann der Stundenkostensatz variiert werden.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Blätter: Liquiditätplan - 1.- 3. Jahr:</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35. Sie können hier eine monatliche Liquiditätsplanung für bis zu drei Jahre erstellen.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Mit dieser Planungsrechnung können Sie ermittlen, ob Sie jederzeit genügend liquide Mittel zur Verfügung haben.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36. Erfassen Sie zunächst  im Blatt Liquiditätsplan 1. Jahr 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B7 bis B9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zeitliche Verteilung der Zahlungseingänge in Prozent auf drei Monate. Diese Werte werden auch im 2. und 3. Jahr übernommen.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37. In der Tabelle wird automatisch die Umsatz-, die Vorsteuer und die an das Finanzamt abzuführende USt-Zahllast  emittelt. Zugrunde liegt die sog. Ist-Besteuerung.</a:t>
          </a:r>
        </a:p>
        <a:p>
          <a:pPr marL="0" marR="0" lvl="0" indent="0" defTabSz="914400" rtl="0" eaLnBrk="1" fontAlgn="auto" latinLnBrk="0" hangingPunct="1">
            <a:lnSpc>
              <a:spcPts val="10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38.  Es wird automatisch ein Verteilungsvorschlag auf die einzelnen Monate eingespielt.</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Korrigieren Sie gegebenenfalls die Nettowerte der einzelnen Einnahme- und Ausgabepositionen für die jeweiligen Monate. Sie können so saisonale Schwankungen und besondere Zahlungsweisen berücksichtigen. Um eine manuelle Bearbeitung zu ermöglichen, ändern Sie die Angabe in Zelle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B2</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bitte von "nein" auf "ja".</a:t>
          </a:r>
          <a:endPar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werden automatisch die Planungswerte aus den vorherigen Rechenblättern übernommen.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sind die "Ist-Werte" Ihrer monatlichen Planzahlen zusammenaddiert. Wenn die Werte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von den "Soll-Werten" der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abweichen, sollten Sie Ihre Planrechnung überprüfen (auf Abweichungen wird durch eine Fehlermeldung aufmerksam gemacht).</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39. Der in der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57</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ermittelte Liquiditätssaldo (kumuliert) sollte immer innerhalb des darunter aufgeführten Kontokorrentrahmens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59</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liegen. Sonst müssen Sie dem Betrieb zusätzliche Liquidität zur Verfügung stellen (zu berücksichtigen in der Investitions- und Finanzierungsplanung).</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40. Wenn alle Tabellen bearbeitet sind, ist die Planung fertig und kann ausgedruckt werden. Dies gelingt indem Sie zunächst über "Datei", "Drucken" und dann "Gesamte Arbeitsmappe" auswählen. Sollten einzelne Tabellenblätter (z.B. Startseite und Bearbeitungshinweise) nicht gedruckt werden sollen, können Sie diese über einen Rechtsklick auf das jeweilige Tabellenblatt und dann über den Befehl "Ausblenden" vom Druck ausschließen.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Für weitere Fragen zur Anwendung steht Ihnen die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Handwerkskammer Münster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zur Verfügung: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Norbert Kortenjan</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Unternehmensberater</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Tel.: 0251 5203-201</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E-Mail: norbert.kortenjan@hwk-muenster.de</a:t>
          </a: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900"/>
            </a:lnSpc>
            <a:defRPr sz="1000"/>
          </a:pPr>
          <a:endParaRPr lang="de-DE" sz="1000" b="1" i="0" u="sng" strike="noStrike" baseline="0">
            <a:solidFill>
              <a:srgbClr val="000000"/>
            </a:solidFill>
            <a:latin typeface="Arial" pitchFamily="34" charset="0"/>
            <a:ea typeface="+mn-ea"/>
            <a:cs typeface="Arial" pitchFamily="34" charset="0"/>
          </a:endParaRPr>
        </a:p>
        <a:p>
          <a:pPr algn="l" rtl="0">
            <a:lnSpc>
              <a:spcPts val="1000"/>
            </a:lnSpc>
            <a:defRPr sz="1000"/>
          </a:pPr>
          <a:endParaRPr lang="de-DE" sz="1000" b="1" i="0" u="none" strike="noStrike" baseline="0">
            <a:solidFill>
              <a:srgbClr val="000000"/>
            </a:solidFill>
            <a:latin typeface="Arial" pitchFamily="34" charset="0"/>
            <a:cs typeface="Arial" pitchFamily="34" charset="0"/>
          </a:endParaRPr>
        </a:p>
        <a:p>
          <a:pPr algn="l" rtl="0">
            <a:lnSpc>
              <a:spcPts val="700"/>
            </a:lnSpc>
            <a:defRPr sz="1000"/>
          </a:pPr>
          <a:r>
            <a:rPr lang="de-DE" sz="1000" b="0" i="0" u="none" strike="noStrike" baseline="0">
              <a:solidFill>
                <a:srgbClr val="000000"/>
              </a:solidFill>
              <a:latin typeface="Arial" pitchFamily="34" charset="0"/>
              <a:cs typeface="Arial" pitchFamily="34" charset="0"/>
            </a:rPr>
            <a:t> </a:t>
          </a:r>
          <a:endParaRPr lang="de-DE">
            <a:latin typeface="Arial" pitchFamily="34" charset="0"/>
            <a:cs typeface="Arial" pitchFamily="34" charset="0"/>
          </a:endParaRPr>
        </a:p>
      </xdr:txBody>
    </xdr:sp>
    <xdr:clientData/>
  </xdr:twoCellAnchor>
  <xdr:twoCellAnchor>
    <xdr:from>
      <xdr:col>0</xdr:col>
      <xdr:colOff>81626</xdr:colOff>
      <xdr:row>56</xdr:row>
      <xdr:rowOff>106426</xdr:rowOff>
    </xdr:from>
    <xdr:to>
      <xdr:col>7</xdr:col>
      <xdr:colOff>355600</xdr:colOff>
      <xdr:row>113</xdr:row>
      <xdr:rowOff>123824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1626" y="9174226"/>
          <a:ext cx="5598449" cy="924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de-DE" sz="1000" b="1" i="0" baseline="0">
              <a:solidFill>
                <a:schemeClr val="dk1"/>
              </a:solidFill>
              <a:effectLst/>
              <a:latin typeface="Arial" pitchFamily="34" charset="0"/>
              <a:ea typeface="+mn-ea"/>
              <a:cs typeface="Arial" pitchFamily="34" charset="0"/>
            </a:rPr>
            <a:t>Arbeitsanweisung /Nutzungshinweise</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Allgemeines:</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1. Durch Anklicken des Befehlsknopfes auf der Startseite gelangen Sie zu den einzelnen Tabellenblättern.  Sie können auch durch direktes Anklicken der Arbeitsblätter am unteren Bildschirmrand zwischen den einzelnen Tabellen hin und her wechseln. </a:t>
          </a:r>
          <a:r>
            <a:rPr lang="de-DE" sz="1000" b="1" i="0" baseline="0">
              <a:solidFill>
                <a:schemeClr val="dk1"/>
              </a:solidFill>
              <a:effectLst/>
              <a:latin typeface="Arial" pitchFamily="34" charset="0"/>
              <a:ea typeface="+mn-ea"/>
              <a:cs typeface="Arial" pitchFamily="34" charset="0"/>
            </a:rPr>
            <a:t>Es empfiehlt sich, die Tabellen in der vorgeschlagenen Reihenfolge zu bearbeiten.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2. </a:t>
          </a:r>
          <a:r>
            <a:rPr lang="de-DE" sz="1000" b="1" i="0" baseline="0">
              <a:solidFill>
                <a:schemeClr val="dk1"/>
              </a:solidFill>
              <a:effectLst/>
              <a:latin typeface="Arial" pitchFamily="34" charset="0"/>
              <a:ea typeface="+mn-ea"/>
              <a:cs typeface="Arial" pitchFamily="34" charset="0"/>
            </a:rPr>
            <a:t>Nur in den grau markierten Feldern können Sie Eingaben vornehmen. Wir empfehlen, keine individuellen Änderungen an dem Aufbau der Tabellenblätter vorzunehmen.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Achten Sie bitte auf die Kommentare bei einzelnen Positionen, die Sie an dem roten Dreieck in der oberen rechten Ecke des jeweiligen Feldes erkennen können.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Für Fehler in der Anwendung kann keine Verantwortung übernommen werden.</a:t>
          </a: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Unternehmensdaten/ </a:t>
          </a:r>
          <a:r>
            <a:rPr lang="de-DE" sz="1000" b="1" i="0" u="sng" baseline="0">
              <a:solidFill>
                <a:schemeClr val="dk1"/>
              </a:solidFill>
              <a:effectLst/>
              <a:latin typeface="Arial" pitchFamily="34" charset="0"/>
              <a:ea typeface="+mn-ea"/>
              <a:cs typeface="Arial" pitchFamily="34" charset="0"/>
            </a:rPr>
            <a:t>Startseite </a:t>
          </a:r>
          <a:r>
            <a:rPr lang="de-DE" sz="1000" b="0" i="0" baseline="0">
              <a:solidFill>
                <a:schemeClr val="dk1"/>
              </a:solidFill>
              <a:effectLst/>
              <a:latin typeface="Arial" pitchFamily="34" charset="0"/>
              <a:ea typeface="+mn-ea"/>
              <a:cs typeface="Arial" pitchFamily="34" charset="0"/>
            </a:rPr>
            <a:t>; </a:t>
          </a:r>
          <a:r>
            <a:rPr lang="de-DE" sz="1000" b="1" i="0" u="sng" baseline="0">
              <a:solidFill>
                <a:schemeClr val="dk1"/>
              </a:solidFill>
              <a:effectLst/>
              <a:latin typeface="Arial" pitchFamily="34" charset="0"/>
              <a:ea typeface="+mn-ea"/>
              <a:cs typeface="Arial" pitchFamily="34" charset="0"/>
            </a:rPr>
            <a:t>Deckblatt:</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3. Durch Eingabe Ihrer Unternehmensdaten auf der Startseite haben Sie die Möglichkeit, ein Deckblatt für Ihre Planung zu gestalten und auszudrucken.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Ihre Eingaben zum </a:t>
          </a:r>
          <a:r>
            <a:rPr lang="de-DE" sz="1000" b="1" i="0" baseline="0">
              <a:solidFill>
                <a:schemeClr val="dk1"/>
              </a:solidFill>
              <a:effectLst/>
              <a:latin typeface="Arial" pitchFamily="34" charset="0"/>
              <a:ea typeface="+mn-ea"/>
              <a:cs typeface="Arial" pitchFamily="34" charset="0"/>
            </a:rPr>
            <a:t>geplanten Unternehmensnamen </a:t>
          </a:r>
          <a:r>
            <a:rPr lang="de-DE" sz="1000" b="0" i="0" baseline="0">
              <a:solidFill>
                <a:schemeClr val="dk1"/>
              </a:solidFill>
              <a:effectLst/>
              <a:latin typeface="Arial" pitchFamily="34" charset="0"/>
              <a:ea typeface="+mn-ea"/>
              <a:cs typeface="Arial" pitchFamily="34" charset="0"/>
            </a:rPr>
            <a:t>in </a:t>
          </a:r>
          <a:r>
            <a:rPr lang="de-DE" sz="1000" b="1" i="0" baseline="0">
              <a:solidFill>
                <a:schemeClr val="dk1"/>
              </a:solidFill>
              <a:effectLst/>
              <a:latin typeface="Arial" pitchFamily="34" charset="0"/>
              <a:ea typeface="+mn-ea"/>
              <a:cs typeface="Arial" pitchFamily="34" charset="0"/>
            </a:rPr>
            <a:t>C14</a:t>
          </a:r>
          <a:r>
            <a:rPr lang="de-DE" sz="1000" b="0" i="0" baseline="0">
              <a:solidFill>
                <a:schemeClr val="dk1"/>
              </a:solidFill>
              <a:effectLst/>
              <a:latin typeface="Arial" pitchFamily="34" charset="0"/>
              <a:ea typeface="+mn-ea"/>
              <a:cs typeface="Arial" pitchFamily="34" charset="0"/>
            </a:rPr>
            <a:t> und zum voraussichtlichen </a:t>
          </a:r>
          <a:r>
            <a:rPr lang="de-DE" sz="1000" b="1" i="0" baseline="0">
              <a:solidFill>
                <a:schemeClr val="dk1"/>
              </a:solidFill>
              <a:effectLst/>
              <a:latin typeface="Arial" pitchFamily="34" charset="0"/>
              <a:ea typeface="+mn-ea"/>
              <a:cs typeface="Arial" pitchFamily="34" charset="0"/>
            </a:rPr>
            <a:t>Datum Ihrer Existenzgründung</a:t>
          </a:r>
          <a:r>
            <a:rPr lang="de-DE" sz="1000" b="0" i="0" baseline="0">
              <a:solidFill>
                <a:schemeClr val="dk1"/>
              </a:solidFill>
              <a:effectLst/>
              <a:latin typeface="Arial" pitchFamily="34" charset="0"/>
              <a:ea typeface="+mn-ea"/>
              <a:cs typeface="Arial" pitchFamily="34" charset="0"/>
            </a:rPr>
            <a:t> in </a:t>
          </a:r>
          <a:r>
            <a:rPr lang="de-DE" sz="1000" b="1" i="0" baseline="0">
              <a:solidFill>
                <a:schemeClr val="dk1"/>
              </a:solidFill>
              <a:effectLst/>
              <a:latin typeface="Arial" pitchFamily="34" charset="0"/>
              <a:ea typeface="+mn-ea"/>
              <a:cs typeface="Arial" pitchFamily="34" charset="0"/>
            </a:rPr>
            <a:t>D16</a:t>
          </a:r>
          <a:r>
            <a:rPr lang="de-DE" sz="1000" b="0" i="0" baseline="0">
              <a:solidFill>
                <a:schemeClr val="dk1"/>
              </a:solidFill>
              <a:effectLst/>
              <a:latin typeface="Arial" pitchFamily="34" charset="0"/>
              <a:ea typeface="+mn-ea"/>
              <a:cs typeface="Arial" pitchFamily="34" charset="0"/>
            </a:rPr>
            <a:t> werden </a:t>
          </a:r>
          <a:r>
            <a:rPr lang="de-DE" sz="1000" b="1" i="0" baseline="0">
              <a:solidFill>
                <a:schemeClr val="dk1"/>
              </a:solidFill>
              <a:effectLst/>
              <a:latin typeface="Arial" pitchFamily="34" charset="0"/>
              <a:ea typeface="+mn-ea"/>
              <a:cs typeface="Arial" pitchFamily="34" charset="0"/>
            </a:rPr>
            <a:t>in die Planungsrechnungen</a:t>
          </a:r>
          <a:r>
            <a:rPr lang="de-DE" sz="1000" b="0" i="0" baseline="0">
              <a:solidFill>
                <a:schemeClr val="dk1"/>
              </a:solidFill>
              <a:effectLst/>
              <a:latin typeface="Arial" pitchFamily="34" charset="0"/>
              <a:ea typeface="+mn-ea"/>
              <a:cs typeface="Arial" pitchFamily="34" charset="0"/>
            </a:rPr>
            <a:t> übertragen. </a:t>
          </a:r>
          <a:endParaRPr lang="de-DE" sz="1000">
            <a:effectLst/>
            <a:latin typeface="Arial" pitchFamily="34" charset="0"/>
            <a:cs typeface="Arial" pitchFamily="34" charset="0"/>
          </a:endParaRPr>
        </a:p>
        <a:p>
          <a:pPr rtl="0" eaLnBrk="1" fontAlgn="auto" latinLnBrk="0" hangingPunct="1"/>
          <a:endParaRPr lang="de-DE" sz="1000" b="1" i="0" baseline="0">
            <a:solidFill>
              <a:schemeClr val="dk1"/>
            </a:solidFill>
            <a:effectLst/>
            <a:latin typeface="Arial" pitchFamily="34" charset="0"/>
            <a:ea typeface="+mn-ea"/>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Geben Sie die von Ihnen geplante Rechtsform über das Listenfeld in Zeile 15 ein.</a:t>
          </a:r>
        </a:p>
        <a:p>
          <a:pPr rtl="0" eaLnBrk="1" fontAlgn="auto" latinLnBrk="0" hangingPunct="1"/>
          <a:r>
            <a:rPr lang="de-DE" sz="1000" b="0" i="0" baseline="0">
              <a:solidFill>
                <a:schemeClr val="dk1"/>
              </a:solidFill>
              <a:effectLst/>
              <a:latin typeface="Arial" pitchFamily="34" charset="0"/>
              <a:ea typeface="+mn-ea"/>
              <a:cs typeface="Arial" pitchFamily="34" charset="0"/>
            </a:rPr>
            <a:t>Sollten Sie die Kleinunternehmerregelung in Anspruch nehmen wollen, tragen Sie in Zelle </a:t>
          </a:r>
          <a:r>
            <a:rPr lang="de-DE" sz="1000" b="1" i="0" baseline="0">
              <a:solidFill>
                <a:schemeClr val="dk1"/>
              </a:solidFill>
              <a:effectLst/>
              <a:latin typeface="Arial" pitchFamily="34" charset="0"/>
              <a:ea typeface="+mn-ea"/>
              <a:cs typeface="Arial" pitchFamily="34" charset="0"/>
            </a:rPr>
            <a:t>D18</a:t>
          </a:r>
          <a:r>
            <a:rPr lang="de-DE" sz="1000" b="0" i="0" baseline="0">
              <a:solidFill>
                <a:schemeClr val="dk1"/>
              </a:solidFill>
              <a:effectLst/>
              <a:latin typeface="Arial" pitchFamily="34" charset="0"/>
              <a:ea typeface="+mn-ea"/>
              <a:cs typeface="Arial" pitchFamily="34" charset="0"/>
            </a:rPr>
            <a:t> "ja" ein. Im Gründungsplaner wird dann anhand Ihrer Angaben automatisch kalkuliert, ob sie die Grenzwerte i.H.v. 22.000 EUR im ersten und i.H.v. 50.000 EUR im darauf folgenden Jahr überschreiten und ob die Kleinunternehmerregelung für Sie in Betracht kommt, oder nicht. Auch im darauf folgenden Jahr erfolgt eine automatisierte Prüfung.</a:t>
          </a:r>
        </a:p>
        <a:p>
          <a:pPr rtl="0" eaLnBrk="1" fontAlgn="auto" latinLnBrk="0" hangingPunct="1"/>
          <a:endParaRPr lang="de-DE" sz="1000" b="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Klicken Sie auf den Befehlsknopf "Deckblatt" und Sie können die Vorlage einsehen und ausdrucken. </a:t>
          </a:r>
          <a:endParaRPr lang="de-DE" sz="1000">
            <a:effectLst/>
            <a:latin typeface="Arial" pitchFamily="34" charset="0"/>
            <a:cs typeface="Arial" pitchFamily="34" charset="0"/>
          </a:endParaRP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Blatt: Kapitalbedarf:</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4. Benennen Sie hier den für Ihr Vorhaben notwendigen Kapitalbedarf: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vorhandene Mittel, die Sie als  Sacheinlage einbingen (in Spalte </a:t>
          </a:r>
          <a:r>
            <a:rPr lang="de-DE" sz="1000" b="1" i="0" baseline="0">
              <a:solidFill>
                <a:schemeClr val="dk1"/>
              </a:solidFill>
              <a:effectLst/>
              <a:latin typeface="Arial" pitchFamily="34" charset="0"/>
              <a:ea typeface="+mn-ea"/>
              <a:cs typeface="Arial" pitchFamily="34" charset="0"/>
            </a:rPr>
            <a:t>C</a:t>
          </a:r>
          <a:r>
            <a:rPr lang="de-DE" sz="1000" b="0" i="0" baseline="0">
              <a:solidFill>
                <a:schemeClr val="dk1"/>
              </a:solidFill>
              <a:effectLst/>
              <a:latin typeface="Arial" pitchFamily="34" charset="0"/>
              <a:ea typeface="+mn-ea"/>
              <a:cs typeface="Arial" pitchFamily="34" charset="0"/>
            </a:rPr>
            <a:t>),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neue, zusätzlich  zu beschaffende Mittel (in Spalte </a:t>
          </a:r>
          <a:r>
            <a:rPr lang="de-DE" sz="1000" b="1" i="0" baseline="0">
              <a:solidFill>
                <a:schemeClr val="dk1"/>
              </a:solidFill>
              <a:effectLst/>
              <a:latin typeface="Arial" pitchFamily="34" charset="0"/>
              <a:ea typeface="+mn-ea"/>
              <a:cs typeface="Arial" pitchFamily="34" charset="0"/>
            </a:rPr>
            <a:t>D</a:t>
          </a:r>
          <a:r>
            <a:rPr lang="de-DE" sz="1000" b="0" i="0" baseline="0">
              <a:solidFill>
                <a:schemeClr val="dk1"/>
              </a:solidFill>
              <a:effectLst/>
              <a:latin typeface="Arial" pitchFamily="34" charset="0"/>
              <a:ea typeface="+mn-ea"/>
              <a:cs typeface="Arial" pitchFamily="34" charset="0"/>
            </a:rPr>
            <a:t>). Auch Bereiche, die Sie über  Barmittel und eigene Reserven finanzieren wollen, müssen aufgeführt werden.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5. In Zeile </a:t>
          </a:r>
          <a:r>
            <a:rPr lang="de-DE" sz="1000" b="1" i="0" baseline="0">
              <a:solidFill>
                <a:schemeClr val="dk1"/>
              </a:solidFill>
              <a:effectLst/>
              <a:latin typeface="Arial" pitchFamily="34" charset="0"/>
              <a:ea typeface="+mn-ea"/>
              <a:cs typeface="Arial" pitchFamily="34" charset="0"/>
            </a:rPr>
            <a:t>11 </a:t>
          </a:r>
          <a:r>
            <a:rPr lang="de-DE" sz="1000" b="0" i="0" baseline="0">
              <a:solidFill>
                <a:schemeClr val="dk1"/>
              </a:solidFill>
              <a:effectLst/>
              <a:latin typeface="Arial" pitchFamily="34" charset="0"/>
              <a:ea typeface="+mn-ea"/>
              <a:cs typeface="Arial" pitchFamily="34" charset="0"/>
            </a:rPr>
            <a:t>können Sie bei einem Kauf von </a:t>
          </a:r>
          <a:r>
            <a:rPr lang="de-DE" sz="1000" b="1" i="0" baseline="0">
              <a:solidFill>
                <a:schemeClr val="dk1"/>
              </a:solidFill>
              <a:effectLst/>
              <a:latin typeface="Arial" pitchFamily="34" charset="0"/>
              <a:ea typeface="+mn-ea"/>
              <a:cs typeface="Arial" pitchFamily="34" charset="0"/>
            </a:rPr>
            <a:t>Unternehmensanteilen einer Kapitalgesellschaft </a:t>
          </a:r>
          <a:r>
            <a:rPr lang="de-DE" sz="1000" b="0" i="0" baseline="0">
              <a:solidFill>
                <a:schemeClr val="dk1"/>
              </a:solidFill>
              <a:effectLst/>
              <a:latin typeface="Arial" pitchFamily="34" charset="0"/>
              <a:ea typeface="+mn-ea"/>
              <a:cs typeface="Arial" pitchFamily="34" charset="0"/>
            </a:rPr>
            <a:t>(sog. Share Deal) den prozentualen Anteil sowie den Wert der Anteile eintragen, sowie die in  dem gekauften Unternehmen vorhandenen Abschreibungen und die durchschnittliche Restnutzungsdauer der in dem Unternehmen vorhandenen Wirtschaftsgüter.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Weiterer Kapitalbedarf ist in den nachfolgenden Zeilen entsprechend zu erfassen. </a:t>
          </a:r>
        </a:p>
        <a:p>
          <a:pPr rtl="0" eaLnBrk="1" fontAlgn="auto" latinLnBrk="0" hangingPunct="1"/>
          <a:r>
            <a:rPr lang="de-DE" sz="1000" b="0" i="0" baseline="0">
              <a:solidFill>
                <a:schemeClr val="dk1"/>
              </a:solidFill>
              <a:effectLst/>
              <a:latin typeface="Arial" pitchFamily="34" charset="0"/>
              <a:ea typeface="+mn-ea"/>
              <a:cs typeface="Arial" pitchFamily="34" charset="0"/>
            </a:rPr>
            <a:t>Eine Vorfinanzierung der Umsatzsteuer wird grundsätzlich nicht berücksicht, da Banken diese in der Regel nicht übernehmen. Sollte die Vorfinanzierung in Ausnahmefällen doch gewünscht sein, ist die Anpassung über ein Dropdown-Feld in Zelle A29 möglich. (Bei Betriebsübernahmen im Ganzen besteht zusätzlich die Möglichkeit, über das Plus-Zeichen in Spalte F auch die umsatzsteuerbefreiten Anteile des Kapitalbedarfs anzugeben. Diese Funktion ist grundsätzlich gesperrt. Zum Freischalten wird ein Passwort benötigt, das den Erstellern des Gründungsplaners vorliegt - Kontakt siehe unten).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6. Bei den Positionen "Sonstiges" haben Sie die Möglichkeit, eigene Bedarfsbereiche zu ergänzen.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7. Für die Ermittlung der - linearen - Abschreibung müssen Sie gegebenenfalls in den Zellen </a:t>
          </a:r>
          <a:r>
            <a:rPr lang="de-DE" sz="1000" b="1" i="0" baseline="0">
              <a:solidFill>
                <a:schemeClr val="dk1"/>
              </a:solidFill>
              <a:effectLst/>
              <a:latin typeface="Arial" pitchFamily="34" charset="0"/>
              <a:ea typeface="+mn-ea"/>
              <a:cs typeface="Arial" pitchFamily="34" charset="0"/>
            </a:rPr>
            <a:t>H11 bis H21</a:t>
          </a:r>
          <a:r>
            <a:rPr lang="de-DE" sz="1000" b="0" i="0" baseline="0">
              <a:solidFill>
                <a:schemeClr val="dk1"/>
              </a:solidFill>
              <a:effectLst/>
              <a:latin typeface="Arial" pitchFamily="34" charset="0"/>
              <a:ea typeface="+mn-ea"/>
              <a:cs typeface="Arial" pitchFamily="34" charset="0"/>
            </a:rPr>
            <a:t> eigene Abschreibungszeiträume eintragen, z.B. bei gebrauchten oder besonderen Wirtschaftsgütern. Die Grundlage für die vorgeschlagenen Werte ist die AfA für Wirtschaftsgüter, die nach dem 31.12.2000 angeschafft wurden.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8. Steuerliche  Abschreibungsregeln für sog. Geringwertige Wirtschaftsgüter (GWG) werden hier nicht berücksichtigt.</a:t>
          </a:r>
          <a:endParaRPr lang="de-DE" sz="1000">
            <a:effectLst/>
            <a:latin typeface="Arial" pitchFamily="34" charset="0"/>
            <a:cs typeface="Arial" pitchFamily="34" charset="0"/>
          </a:endParaRP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9</xdr:col>
      <xdr:colOff>695041</xdr:colOff>
      <xdr:row>17</xdr:row>
      <xdr:rowOff>22888</xdr:rowOff>
    </xdr:to>
    <xdr:pic>
      <xdr:nvPicPr>
        <xdr:cNvPr id="2"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4219" r="54030" b="6070"/>
        <a:stretch/>
      </xdr:blipFill>
      <xdr:spPr bwMode="auto">
        <a:xfrm>
          <a:off x="784860" y="2446020"/>
          <a:ext cx="6471001" cy="82298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0</xdr:colOff>
      <xdr:row>23</xdr:row>
      <xdr:rowOff>0</xdr:rowOff>
    </xdr:from>
    <xdr:to>
      <xdr:col>3</xdr:col>
      <xdr:colOff>161499</xdr:colOff>
      <xdr:row>29</xdr:row>
      <xdr:rowOff>158655</xdr:rowOff>
    </xdr:to>
    <xdr:pic>
      <xdr:nvPicPr>
        <xdr:cNvPr id="3" name="Picture 3">
          <a:extLst>
            <a:ext uri="{FF2B5EF4-FFF2-40B4-BE49-F238E27FC236}">
              <a16:creationId xmlns:a16="http://schemas.microsoft.com/office/drawing/2014/main" id="{00000000-0008-0000-02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7711" b="86816"/>
        <a:stretch/>
      </xdr:blipFill>
      <xdr:spPr bwMode="auto">
        <a:xfrm>
          <a:off x="784860" y="4236720"/>
          <a:ext cx="1731219" cy="116449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0</xdr:colOff>
      <xdr:row>36</xdr:row>
      <xdr:rowOff>0</xdr:rowOff>
    </xdr:from>
    <xdr:to>
      <xdr:col>9</xdr:col>
      <xdr:colOff>370728</xdr:colOff>
      <xdr:row>39</xdr:row>
      <xdr:rowOff>76130</xdr:rowOff>
    </xdr:to>
    <xdr:pic>
      <xdr:nvPicPr>
        <xdr:cNvPr id="4" name="Grafik 3">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784860" y="6416040"/>
          <a:ext cx="6146688" cy="579050"/>
        </a:xfrm>
        <a:prstGeom prst="rect">
          <a:avLst/>
        </a:prstGeom>
      </xdr:spPr>
    </xdr:pic>
    <xdr:clientData/>
  </xdr:twoCellAnchor>
  <xdr:twoCellAnchor editAs="oneCell">
    <xdr:from>
      <xdr:col>1</xdr:col>
      <xdr:colOff>0</xdr:colOff>
      <xdr:row>46</xdr:row>
      <xdr:rowOff>0</xdr:rowOff>
    </xdr:from>
    <xdr:to>
      <xdr:col>6</xdr:col>
      <xdr:colOff>723334</xdr:colOff>
      <xdr:row>50</xdr:row>
      <xdr:rowOff>123729</xdr:rowOff>
    </xdr:to>
    <xdr:pic>
      <xdr:nvPicPr>
        <xdr:cNvPr id="5" name="Grafik 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84860" y="8161020"/>
          <a:ext cx="4647634" cy="7942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403860</xdr:colOff>
          <xdr:row>47</xdr:row>
          <xdr:rowOff>60960</xdr:rowOff>
        </xdr:from>
        <xdr:to>
          <xdr:col>9</xdr:col>
          <xdr:colOff>403860</xdr:colOff>
          <xdr:row>47</xdr:row>
          <xdr:rowOff>60960</xdr:rowOff>
        </xdr:to>
        <xdr:sp macro="" textlink="">
          <xdr:nvSpPr>
            <xdr:cNvPr id="24662" name="Button 86" hidden="1">
              <a:extLst>
                <a:ext uri="{63B3BB69-23CF-44E3-9099-C40C66FF867C}">
                  <a14:compatExt spid="_x0000_s24662"/>
                </a:ext>
                <a:ext uri="{FF2B5EF4-FFF2-40B4-BE49-F238E27FC236}">
                  <a16:creationId xmlns:a16="http://schemas.microsoft.com/office/drawing/2014/main" id="{00000000-0008-0000-0700-000056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403860</xdr:colOff>
          <xdr:row>47</xdr:row>
          <xdr:rowOff>30480</xdr:rowOff>
        </xdr:from>
        <xdr:to>
          <xdr:col>9</xdr:col>
          <xdr:colOff>403860</xdr:colOff>
          <xdr:row>47</xdr:row>
          <xdr:rowOff>30480</xdr:rowOff>
        </xdr:to>
        <xdr:sp macro="" textlink="">
          <xdr:nvSpPr>
            <xdr:cNvPr id="24664" name="Button 88" hidden="1">
              <a:extLst>
                <a:ext uri="{63B3BB69-23CF-44E3-9099-C40C66FF867C}">
                  <a14:compatExt spid="_x0000_s24664"/>
                </a:ext>
                <a:ext uri="{FF2B5EF4-FFF2-40B4-BE49-F238E27FC236}">
                  <a16:creationId xmlns:a16="http://schemas.microsoft.com/office/drawing/2014/main" id="{00000000-0008-0000-0700-000058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403860</xdr:colOff>
          <xdr:row>18</xdr:row>
          <xdr:rowOff>137160</xdr:rowOff>
        </xdr:from>
        <xdr:to>
          <xdr:col>9</xdr:col>
          <xdr:colOff>403860</xdr:colOff>
          <xdr:row>18</xdr:row>
          <xdr:rowOff>137160</xdr:rowOff>
        </xdr:to>
        <xdr:sp macro="" textlink="">
          <xdr:nvSpPr>
            <xdr:cNvPr id="24665" name="Button 89" hidden="1">
              <a:extLst>
                <a:ext uri="{63B3BB69-23CF-44E3-9099-C40C66FF867C}">
                  <a14:compatExt spid="_x0000_s24665"/>
                </a:ext>
                <a:ext uri="{FF2B5EF4-FFF2-40B4-BE49-F238E27FC236}">
                  <a16:creationId xmlns:a16="http://schemas.microsoft.com/office/drawing/2014/main" id="{00000000-0008-0000-0700-000059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15</xdr:row>
          <xdr:rowOff>137160</xdr:rowOff>
        </xdr:from>
        <xdr:to>
          <xdr:col>8</xdr:col>
          <xdr:colOff>304800</xdr:colOff>
          <xdr:row>15</xdr:row>
          <xdr:rowOff>137160</xdr:rowOff>
        </xdr:to>
        <xdr:sp macro="" textlink="">
          <xdr:nvSpPr>
            <xdr:cNvPr id="24671" name="Button 95" hidden="1">
              <a:extLst>
                <a:ext uri="{63B3BB69-23CF-44E3-9099-C40C66FF867C}">
                  <a14:compatExt spid="_x0000_s24671"/>
                </a:ext>
                <a:ext uri="{FF2B5EF4-FFF2-40B4-BE49-F238E27FC236}">
                  <a16:creationId xmlns:a16="http://schemas.microsoft.com/office/drawing/2014/main" id="{00000000-0008-0000-0700-00005F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16</xdr:row>
          <xdr:rowOff>137160</xdr:rowOff>
        </xdr:from>
        <xdr:to>
          <xdr:col>8</xdr:col>
          <xdr:colOff>304800</xdr:colOff>
          <xdr:row>16</xdr:row>
          <xdr:rowOff>137160</xdr:rowOff>
        </xdr:to>
        <xdr:sp macro="" textlink="">
          <xdr:nvSpPr>
            <xdr:cNvPr id="24672" name="Button 96" hidden="1">
              <a:extLst>
                <a:ext uri="{63B3BB69-23CF-44E3-9099-C40C66FF867C}">
                  <a14:compatExt spid="_x0000_s24672"/>
                </a:ext>
                <a:ext uri="{FF2B5EF4-FFF2-40B4-BE49-F238E27FC236}">
                  <a16:creationId xmlns:a16="http://schemas.microsoft.com/office/drawing/2014/main" id="{00000000-0008-0000-0700-000060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17</xdr:row>
          <xdr:rowOff>137160</xdr:rowOff>
        </xdr:from>
        <xdr:to>
          <xdr:col>8</xdr:col>
          <xdr:colOff>304800</xdr:colOff>
          <xdr:row>17</xdr:row>
          <xdr:rowOff>137160</xdr:rowOff>
        </xdr:to>
        <xdr:sp macro="" textlink="">
          <xdr:nvSpPr>
            <xdr:cNvPr id="24673" name="Button 97" hidden="1">
              <a:extLst>
                <a:ext uri="{63B3BB69-23CF-44E3-9099-C40C66FF867C}">
                  <a14:compatExt spid="_x0000_s24673"/>
                </a:ext>
                <a:ext uri="{FF2B5EF4-FFF2-40B4-BE49-F238E27FC236}">
                  <a16:creationId xmlns:a16="http://schemas.microsoft.com/office/drawing/2014/main" id="{00000000-0008-0000-0700-000061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18</xdr:row>
          <xdr:rowOff>137160</xdr:rowOff>
        </xdr:from>
        <xdr:to>
          <xdr:col>8</xdr:col>
          <xdr:colOff>304800</xdr:colOff>
          <xdr:row>18</xdr:row>
          <xdr:rowOff>137160</xdr:rowOff>
        </xdr:to>
        <xdr:sp macro="" textlink="">
          <xdr:nvSpPr>
            <xdr:cNvPr id="24674" name="Button 98" hidden="1">
              <a:extLst>
                <a:ext uri="{63B3BB69-23CF-44E3-9099-C40C66FF867C}">
                  <a14:compatExt spid="_x0000_s24674"/>
                </a:ext>
                <a:ext uri="{FF2B5EF4-FFF2-40B4-BE49-F238E27FC236}">
                  <a16:creationId xmlns:a16="http://schemas.microsoft.com/office/drawing/2014/main" id="{00000000-0008-0000-0700-000062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19</xdr:row>
          <xdr:rowOff>137160</xdr:rowOff>
        </xdr:from>
        <xdr:to>
          <xdr:col>8</xdr:col>
          <xdr:colOff>304800</xdr:colOff>
          <xdr:row>19</xdr:row>
          <xdr:rowOff>137160</xdr:rowOff>
        </xdr:to>
        <xdr:sp macro="" textlink="">
          <xdr:nvSpPr>
            <xdr:cNvPr id="24675" name="Button 99" hidden="1">
              <a:extLst>
                <a:ext uri="{63B3BB69-23CF-44E3-9099-C40C66FF867C}">
                  <a14:compatExt spid="_x0000_s24675"/>
                </a:ext>
                <a:ext uri="{FF2B5EF4-FFF2-40B4-BE49-F238E27FC236}">
                  <a16:creationId xmlns:a16="http://schemas.microsoft.com/office/drawing/2014/main" id="{00000000-0008-0000-0700-000063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20</xdr:row>
          <xdr:rowOff>137160</xdr:rowOff>
        </xdr:from>
        <xdr:to>
          <xdr:col>8</xdr:col>
          <xdr:colOff>304800</xdr:colOff>
          <xdr:row>20</xdr:row>
          <xdr:rowOff>137160</xdr:rowOff>
        </xdr:to>
        <xdr:sp macro="" textlink="">
          <xdr:nvSpPr>
            <xdr:cNvPr id="24676" name="Button 100" hidden="1">
              <a:extLst>
                <a:ext uri="{63B3BB69-23CF-44E3-9099-C40C66FF867C}">
                  <a14:compatExt spid="_x0000_s24676"/>
                </a:ext>
                <a:ext uri="{FF2B5EF4-FFF2-40B4-BE49-F238E27FC236}">
                  <a16:creationId xmlns:a16="http://schemas.microsoft.com/office/drawing/2014/main" id="{00000000-0008-0000-0700-000064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21</xdr:row>
          <xdr:rowOff>137160</xdr:rowOff>
        </xdr:from>
        <xdr:to>
          <xdr:col>8</xdr:col>
          <xdr:colOff>304800</xdr:colOff>
          <xdr:row>21</xdr:row>
          <xdr:rowOff>137160</xdr:rowOff>
        </xdr:to>
        <xdr:sp macro="" textlink="">
          <xdr:nvSpPr>
            <xdr:cNvPr id="24677" name="Button 101" hidden="1">
              <a:extLst>
                <a:ext uri="{63B3BB69-23CF-44E3-9099-C40C66FF867C}">
                  <a14:compatExt spid="_x0000_s24677"/>
                </a:ext>
                <a:ext uri="{FF2B5EF4-FFF2-40B4-BE49-F238E27FC236}">
                  <a16:creationId xmlns:a16="http://schemas.microsoft.com/office/drawing/2014/main" id="{00000000-0008-0000-0700-000065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22</xdr:row>
          <xdr:rowOff>0</xdr:rowOff>
        </xdr:from>
        <xdr:to>
          <xdr:col>8</xdr:col>
          <xdr:colOff>304800</xdr:colOff>
          <xdr:row>22</xdr:row>
          <xdr:rowOff>0</xdr:rowOff>
        </xdr:to>
        <xdr:sp macro="" textlink="">
          <xdr:nvSpPr>
            <xdr:cNvPr id="24678" name="Button 102" hidden="1">
              <a:extLst>
                <a:ext uri="{63B3BB69-23CF-44E3-9099-C40C66FF867C}">
                  <a14:compatExt spid="_x0000_s24678"/>
                </a:ext>
                <a:ext uri="{FF2B5EF4-FFF2-40B4-BE49-F238E27FC236}">
                  <a16:creationId xmlns:a16="http://schemas.microsoft.com/office/drawing/2014/main" id="{00000000-0008-0000-0700-000066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22</xdr:row>
          <xdr:rowOff>0</xdr:rowOff>
        </xdr:from>
        <xdr:to>
          <xdr:col>8</xdr:col>
          <xdr:colOff>304800</xdr:colOff>
          <xdr:row>22</xdr:row>
          <xdr:rowOff>0</xdr:rowOff>
        </xdr:to>
        <xdr:sp macro="" textlink="">
          <xdr:nvSpPr>
            <xdr:cNvPr id="24679" name="Button 103" hidden="1">
              <a:extLst>
                <a:ext uri="{63B3BB69-23CF-44E3-9099-C40C66FF867C}">
                  <a14:compatExt spid="_x0000_s24679"/>
                </a:ext>
                <a:ext uri="{FF2B5EF4-FFF2-40B4-BE49-F238E27FC236}">
                  <a16:creationId xmlns:a16="http://schemas.microsoft.com/office/drawing/2014/main" id="{00000000-0008-0000-0700-0000676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228600</xdr:colOff>
          <xdr:row>14</xdr:row>
          <xdr:rowOff>144780</xdr:rowOff>
        </xdr:from>
        <xdr:to>
          <xdr:col>5</xdr:col>
          <xdr:colOff>228600</xdr:colOff>
          <xdr:row>14</xdr:row>
          <xdr:rowOff>144780</xdr:rowOff>
        </xdr:to>
        <xdr:sp macro="" textlink="">
          <xdr:nvSpPr>
            <xdr:cNvPr id="25720" name="Button 120" hidden="1">
              <a:extLst>
                <a:ext uri="{63B3BB69-23CF-44E3-9099-C40C66FF867C}">
                  <a14:compatExt spid="_x0000_s25720"/>
                </a:ext>
                <a:ext uri="{FF2B5EF4-FFF2-40B4-BE49-F238E27FC236}">
                  <a16:creationId xmlns:a16="http://schemas.microsoft.com/office/drawing/2014/main" id="{00000000-0008-0000-0800-0000786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15</xdr:row>
          <xdr:rowOff>114300</xdr:rowOff>
        </xdr:from>
        <xdr:to>
          <xdr:col>5</xdr:col>
          <xdr:colOff>228600</xdr:colOff>
          <xdr:row>15</xdr:row>
          <xdr:rowOff>114300</xdr:rowOff>
        </xdr:to>
        <xdr:sp macro="" textlink="">
          <xdr:nvSpPr>
            <xdr:cNvPr id="25742" name="Button 142" hidden="1">
              <a:extLst>
                <a:ext uri="{63B3BB69-23CF-44E3-9099-C40C66FF867C}">
                  <a14:compatExt spid="_x0000_s25742"/>
                </a:ext>
                <a:ext uri="{FF2B5EF4-FFF2-40B4-BE49-F238E27FC236}">
                  <a16:creationId xmlns:a16="http://schemas.microsoft.com/office/drawing/2014/main" id="{00000000-0008-0000-0800-00008E6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16</xdr:row>
          <xdr:rowOff>76200</xdr:rowOff>
        </xdr:from>
        <xdr:to>
          <xdr:col>5</xdr:col>
          <xdr:colOff>228600</xdr:colOff>
          <xdr:row>16</xdr:row>
          <xdr:rowOff>76200</xdr:rowOff>
        </xdr:to>
        <xdr:sp macro="" textlink="">
          <xdr:nvSpPr>
            <xdr:cNvPr id="25743" name="Button 143" hidden="1">
              <a:extLst>
                <a:ext uri="{63B3BB69-23CF-44E3-9099-C40C66FF867C}">
                  <a14:compatExt spid="_x0000_s25743"/>
                </a:ext>
                <a:ext uri="{FF2B5EF4-FFF2-40B4-BE49-F238E27FC236}">
                  <a16:creationId xmlns:a16="http://schemas.microsoft.com/office/drawing/2014/main" id="{00000000-0008-0000-0800-00008F6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114300</xdr:colOff>
          <xdr:row>14</xdr:row>
          <xdr:rowOff>60960</xdr:rowOff>
        </xdr:from>
        <xdr:to>
          <xdr:col>5</xdr:col>
          <xdr:colOff>114300</xdr:colOff>
          <xdr:row>14</xdr:row>
          <xdr:rowOff>60960</xdr:rowOff>
        </xdr:to>
        <xdr:sp macro="" textlink="">
          <xdr:nvSpPr>
            <xdr:cNvPr id="26713" name="Button 89" hidden="1">
              <a:extLst>
                <a:ext uri="{63B3BB69-23CF-44E3-9099-C40C66FF867C}">
                  <a14:compatExt spid="_x0000_s26713"/>
                </a:ext>
                <a:ext uri="{FF2B5EF4-FFF2-40B4-BE49-F238E27FC236}">
                  <a16:creationId xmlns:a16="http://schemas.microsoft.com/office/drawing/2014/main" id="{00000000-0008-0000-0900-0000596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6.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6" Type="http://schemas.openxmlformats.org/officeDocument/2006/relationships/comments" Target="../comments5.xml"/><Relationship Id="rId1" Type="http://schemas.openxmlformats.org/officeDocument/2006/relationships/printerSettings" Target="../printerSettings/printerSettings8.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6.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75"/>
  <sheetViews>
    <sheetView showGridLines="0" tabSelected="1" zoomScaleNormal="100" zoomScaleSheetLayoutView="100" workbookViewId="0">
      <selection activeCell="C15" sqref="C15:E15"/>
    </sheetView>
  </sheetViews>
  <sheetFormatPr baseColWidth="10" defaultColWidth="11.44140625" defaultRowHeight="13.2"/>
  <cols>
    <col min="1" max="1" width="14.5546875" style="2" customWidth="1"/>
    <col min="2" max="2" width="26.44140625" style="2" customWidth="1"/>
    <col min="3" max="3" width="16" style="2" customWidth="1"/>
    <col min="4" max="4" width="6.5546875" style="2" customWidth="1"/>
    <col min="5" max="5" width="27.44140625" style="2" customWidth="1"/>
    <col min="6" max="6" width="5.33203125" style="2" customWidth="1"/>
    <col min="7" max="7" width="18.109375" style="2" customWidth="1"/>
    <col min="8" max="8" width="7.109375" style="2" customWidth="1"/>
    <col min="9" max="9" width="7.5546875" style="2" customWidth="1"/>
    <col min="10" max="10" width="22.5546875" style="2" customWidth="1"/>
    <col min="11" max="11" width="7.88671875" style="2" customWidth="1"/>
    <col min="12" max="16384" width="11.44140625" style="2"/>
  </cols>
  <sheetData>
    <row r="1" spans="1:15">
      <c r="A1" s="894"/>
      <c r="B1" s="63"/>
      <c r="C1" s="63"/>
      <c r="D1" s="63"/>
      <c r="E1" s="63"/>
      <c r="F1" s="63"/>
      <c r="G1" s="63"/>
      <c r="H1" s="63"/>
      <c r="I1" s="63"/>
      <c r="J1" s="63"/>
      <c r="K1" s="63"/>
      <c r="L1" s="63"/>
      <c r="M1" s="63"/>
      <c r="N1" s="63"/>
      <c r="O1" s="63"/>
    </row>
    <row r="2" spans="1:15" ht="17.399999999999999">
      <c r="A2" s="111"/>
      <c r="B2" s="63"/>
      <c r="C2" s="63"/>
      <c r="D2" s="63"/>
      <c r="E2" s="63"/>
      <c r="F2" s="63"/>
      <c r="G2" s="63"/>
      <c r="H2" s="63"/>
      <c r="I2" s="63"/>
      <c r="J2" s="63"/>
      <c r="K2" s="63"/>
      <c r="L2" s="63"/>
      <c r="M2" s="63"/>
      <c r="N2" s="63"/>
      <c r="O2" s="63"/>
    </row>
    <row r="3" spans="1:15">
      <c r="A3" s="63"/>
      <c r="B3" s="63"/>
      <c r="C3" s="63"/>
      <c r="D3" s="63"/>
      <c r="E3" s="63"/>
      <c r="F3" s="63"/>
      <c r="G3" s="63"/>
      <c r="H3" s="63"/>
      <c r="I3" s="63"/>
      <c r="J3" s="63"/>
      <c r="K3" s="63"/>
      <c r="L3" s="63"/>
      <c r="M3" s="63"/>
      <c r="N3" s="63"/>
      <c r="O3" s="63"/>
    </row>
    <row r="4" spans="1:15">
      <c r="A4" s="63"/>
      <c r="B4" s="63"/>
      <c r="C4" s="63"/>
      <c r="D4" s="63"/>
      <c r="E4" s="63"/>
      <c r="F4" s="63"/>
      <c r="G4" s="63"/>
      <c r="H4" s="63"/>
      <c r="I4" s="63"/>
      <c r="J4" s="63"/>
      <c r="K4" s="63"/>
      <c r="L4" s="63"/>
      <c r="M4" s="63"/>
      <c r="N4" s="63"/>
      <c r="O4" s="63"/>
    </row>
    <row r="5" spans="1:15">
      <c r="A5" s="63"/>
      <c r="B5" s="63"/>
      <c r="C5" s="63"/>
      <c r="D5" s="63"/>
      <c r="E5" s="63"/>
      <c r="F5" s="63"/>
      <c r="G5" s="63"/>
      <c r="H5" s="63"/>
      <c r="I5" s="63"/>
      <c r="J5" s="63"/>
      <c r="K5" s="63"/>
      <c r="L5" s="63"/>
      <c r="M5" s="63"/>
      <c r="N5" s="63"/>
      <c r="O5" s="63"/>
    </row>
    <row r="6" spans="1:15" s="61" customFormat="1" ht="17.399999999999999">
      <c r="A6" s="112" t="s">
        <v>172</v>
      </c>
      <c r="B6" s="113"/>
      <c r="C6" s="113"/>
      <c r="D6" s="113"/>
      <c r="E6" s="113"/>
      <c r="F6" s="113"/>
      <c r="G6" s="113"/>
      <c r="H6" s="113"/>
      <c r="I6" s="113"/>
      <c r="J6" s="113"/>
      <c r="K6" s="113"/>
      <c r="L6" s="113"/>
      <c r="M6" s="113"/>
      <c r="N6" s="113"/>
      <c r="O6" s="113"/>
    </row>
    <row r="7" spans="1:15" s="61" customFormat="1" ht="15.75" customHeight="1">
      <c r="A7" s="113" t="s">
        <v>321</v>
      </c>
      <c r="B7" s="113"/>
      <c r="C7" s="1057"/>
      <c r="D7" s="1057"/>
      <c r="E7" s="1057"/>
      <c r="F7" s="114" t="s">
        <v>367</v>
      </c>
      <c r="G7" s="113"/>
      <c r="H7" s="113"/>
      <c r="I7" s="113"/>
      <c r="J7" s="113"/>
      <c r="K7" s="113"/>
      <c r="L7" s="113"/>
      <c r="M7" s="113"/>
      <c r="N7" s="113"/>
      <c r="O7" s="113"/>
    </row>
    <row r="8" spans="1:15" s="61" customFormat="1" ht="15.75" customHeight="1">
      <c r="A8" s="113" t="s">
        <v>322</v>
      </c>
      <c r="B8" s="113"/>
      <c r="C8" s="1048"/>
      <c r="D8" s="1048"/>
      <c r="E8" s="1048"/>
      <c r="F8" s="113"/>
      <c r="G8" s="113"/>
      <c r="H8" s="113"/>
      <c r="I8" s="113"/>
      <c r="J8" s="113"/>
      <c r="K8" s="113"/>
      <c r="L8" s="113"/>
      <c r="M8" s="113"/>
      <c r="N8" s="113"/>
      <c r="O8" s="113"/>
    </row>
    <row r="9" spans="1:15" s="61" customFormat="1" ht="15.75" customHeight="1">
      <c r="A9" s="113" t="s">
        <v>323</v>
      </c>
      <c r="B9" s="113"/>
      <c r="C9" s="1048"/>
      <c r="D9" s="1048"/>
      <c r="E9" s="1048"/>
      <c r="F9" s="113"/>
      <c r="G9" s="1052" t="s">
        <v>500</v>
      </c>
      <c r="H9" s="1053"/>
      <c r="I9" s="113"/>
      <c r="J9" s="113"/>
      <c r="K9" s="113"/>
      <c r="L9" s="113"/>
      <c r="M9" s="113"/>
      <c r="N9" s="113"/>
      <c r="O9" s="113"/>
    </row>
    <row r="10" spans="1:15" s="61" customFormat="1" ht="15.75" customHeight="1">
      <c r="A10" s="113" t="s">
        <v>324</v>
      </c>
      <c r="B10" s="113"/>
      <c r="C10" s="1048"/>
      <c r="D10" s="1048"/>
      <c r="E10" s="1048"/>
      <c r="F10" s="113"/>
      <c r="G10" s="113"/>
      <c r="H10" s="113"/>
      <c r="I10" s="113"/>
      <c r="J10" s="113"/>
      <c r="K10" s="113"/>
      <c r="L10" s="113"/>
      <c r="M10" s="113"/>
      <c r="N10" s="113"/>
      <c r="O10" s="113"/>
    </row>
    <row r="11" spans="1:15" s="61" customFormat="1" ht="15.75" customHeight="1">
      <c r="A11" s="113" t="s">
        <v>325</v>
      </c>
      <c r="B11" s="113"/>
      <c r="C11" s="1047"/>
      <c r="D11" s="1047"/>
      <c r="E11" s="1047"/>
      <c r="F11" s="113"/>
      <c r="G11" s="1052" t="s">
        <v>501</v>
      </c>
      <c r="H11" s="1053"/>
      <c r="I11" s="113"/>
      <c r="J11" s="113"/>
      <c r="K11" s="113"/>
      <c r="L11" s="113"/>
      <c r="M11" s="113"/>
      <c r="N11" s="113"/>
      <c r="O11" s="113"/>
    </row>
    <row r="12" spans="1:15" s="61" customFormat="1" ht="15.75" customHeight="1">
      <c r="A12" s="113" t="s">
        <v>432</v>
      </c>
      <c r="B12" s="894"/>
      <c r="C12" s="1058"/>
      <c r="D12" s="1058"/>
      <c r="E12" s="1058"/>
      <c r="F12" s="113"/>
      <c r="G12" s="113"/>
      <c r="H12" s="113"/>
      <c r="I12" s="113"/>
      <c r="J12" s="113"/>
      <c r="K12" s="113"/>
      <c r="L12" s="113"/>
      <c r="M12" s="113"/>
      <c r="N12" s="113"/>
      <c r="O12" s="113"/>
    </row>
    <row r="13" spans="1:15" s="61" customFormat="1" ht="15.75" customHeight="1">
      <c r="A13" s="113" t="s">
        <v>326</v>
      </c>
      <c r="B13" s="113"/>
      <c r="C13" s="1048"/>
      <c r="D13" s="1048"/>
      <c r="E13" s="1048"/>
      <c r="F13" s="113"/>
      <c r="G13" s="113"/>
      <c r="H13" s="113"/>
      <c r="I13" s="113"/>
      <c r="J13" s="113"/>
      <c r="K13" s="113"/>
      <c r="L13" s="113"/>
      <c r="M13" s="113"/>
      <c r="N13" s="113"/>
      <c r="O13" s="113"/>
    </row>
    <row r="14" spans="1:15" s="61" customFormat="1" ht="15.75" customHeight="1">
      <c r="A14" s="113" t="s">
        <v>382</v>
      </c>
      <c r="B14" s="113"/>
      <c r="C14" s="1048"/>
      <c r="D14" s="1048"/>
      <c r="E14" s="1048"/>
      <c r="F14" s="113"/>
      <c r="G14" s="113"/>
      <c r="H14" s="113"/>
      <c r="I14" s="113"/>
      <c r="J14" s="113"/>
      <c r="K14" s="113"/>
      <c r="L14" s="113"/>
      <c r="M14" s="113"/>
      <c r="N14" s="113"/>
      <c r="O14" s="113"/>
    </row>
    <row r="15" spans="1:15" s="61" customFormat="1" ht="15.75" customHeight="1">
      <c r="A15" s="115" t="s">
        <v>327</v>
      </c>
      <c r="B15" s="113"/>
      <c r="C15" s="1050" t="s">
        <v>359</v>
      </c>
      <c r="D15" s="1050"/>
      <c r="E15" s="1050"/>
      <c r="F15" s="113"/>
      <c r="G15" s="113"/>
      <c r="H15" s="113"/>
      <c r="I15" s="113"/>
      <c r="J15" s="113"/>
      <c r="K15" s="113"/>
      <c r="L15" s="113"/>
      <c r="M15" s="113"/>
      <c r="N15" s="113"/>
      <c r="O15" s="113"/>
    </row>
    <row r="16" spans="1:15" s="61" customFormat="1" ht="19.5" customHeight="1">
      <c r="A16" s="113" t="s">
        <v>328</v>
      </c>
      <c r="B16" s="113"/>
      <c r="C16" s="113"/>
      <c r="D16" s="1046">
        <v>45597</v>
      </c>
      <c r="E16" s="1046"/>
      <c r="F16" s="113"/>
      <c r="G16" s="113"/>
      <c r="H16" s="113"/>
      <c r="I16" s="113"/>
      <c r="J16" s="113"/>
      <c r="K16" s="113"/>
      <c r="L16" s="113"/>
      <c r="M16" s="113"/>
      <c r="N16" s="113"/>
      <c r="O16" s="113"/>
    </row>
    <row r="17" spans="1:15" s="61" customFormat="1" ht="19.5" customHeight="1">
      <c r="A17" s="113"/>
      <c r="B17" s="113"/>
      <c r="C17" s="113"/>
      <c r="D17" s="1020"/>
      <c r="E17" s="1020"/>
      <c r="F17" s="113"/>
      <c r="G17" s="113"/>
      <c r="H17" s="113"/>
      <c r="I17" s="113"/>
      <c r="J17" s="113"/>
      <c r="K17" s="113"/>
      <c r="L17" s="113"/>
      <c r="M17" s="113"/>
      <c r="N17" s="113"/>
      <c r="O17" s="113"/>
    </row>
    <row r="18" spans="1:15" ht="17.399999999999999">
      <c r="A18" s="113" t="s">
        <v>554</v>
      </c>
      <c r="B18" s="63"/>
      <c r="C18" s="63"/>
      <c r="D18" s="1051" t="s">
        <v>80</v>
      </c>
      <c r="E18" s="1051"/>
      <c r="F18" s="63"/>
      <c r="G18" s="63"/>
      <c r="H18" s="63"/>
      <c r="I18" s="63"/>
      <c r="J18" s="120"/>
      <c r="K18" s="120"/>
      <c r="L18" s="63"/>
      <c r="M18" s="63"/>
      <c r="N18" s="63"/>
      <c r="O18" s="63"/>
    </row>
    <row r="19" spans="1:15" ht="18" customHeight="1">
      <c r="A19" s="63"/>
      <c r="B19" s="63"/>
      <c r="C19" s="63"/>
      <c r="D19" s="63"/>
      <c r="E19" s="63"/>
      <c r="F19" s="63"/>
      <c r="G19" s="63"/>
      <c r="H19" s="63"/>
      <c r="I19" s="63"/>
      <c r="J19" s="63"/>
      <c r="K19" s="63"/>
      <c r="L19" s="63"/>
      <c r="M19" s="63"/>
      <c r="N19" s="63"/>
      <c r="O19" s="63"/>
    </row>
    <row r="20" spans="1:15" ht="18" customHeight="1">
      <c r="A20" s="63"/>
      <c r="B20" s="63"/>
      <c r="C20" s="63"/>
      <c r="D20" s="63"/>
      <c r="E20" s="63"/>
      <c r="F20" s="63"/>
      <c r="G20" s="63"/>
      <c r="H20" s="63"/>
      <c r="I20" s="63"/>
      <c r="J20" s="63"/>
      <c r="K20" s="63"/>
      <c r="L20" s="63"/>
      <c r="M20" s="63"/>
      <c r="N20" s="63"/>
      <c r="O20" s="63"/>
    </row>
    <row r="21" spans="1:15" ht="15.6">
      <c r="A21" s="116" t="s">
        <v>45</v>
      </c>
      <c r="B21" s="63"/>
      <c r="C21" s="63"/>
      <c r="D21" s="63"/>
      <c r="E21" s="63"/>
      <c r="F21" s="63"/>
      <c r="G21" s="63"/>
      <c r="H21" s="63"/>
      <c r="I21" s="63"/>
      <c r="J21" s="63"/>
      <c r="K21" s="63"/>
      <c r="L21" s="63"/>
      <c r="M21" s="63"/>
      <c r="N21" s="63"/>
      <c r="O21" s="63"/>
    </row>
    <row r="22" spans="1:15">
      <c r="A22" s="63"/>
      <c r="B22" s="63"/>
      <c r="C22" s="63"/>
      <c r="D22" s="63"/>
      <c r="E22" s="63"/>
      <c r="F22" s="63"/>
      <c r="G22" s="63"/>
      <c r="H22" s="63"/>
      <c r="I22" s="63"/>
      <c r="J22" s="63"/>
      <c r="K22" s="63"/>
      <c r="L22" s="63"/>
      <c r="M22" s="63"/>
      <c r="N22" s="63"/>
      <c r="O22" s="63"/>
    </row>
    <row r="23" spans="1:15" ht="15.6">
      <c r="A23" s="86"/>
      <c r="B23" s="117"/>
      <c r="C23" s="117"/>
      <c r="D23" s="1049" t="s">
        <v>329</v>
      </c>
      <c r="E23" s="1049"/>
      <c r="F23" s="1049"/>
      <c r="G23" s="1049"/>
      <c r="H23" s="1049"/>
      <c r="I23" s="364"/>
      <c r="J23" s="364"/>
      <c r="K23" s="365"/>
      <c r="L23" s="63"/>
      <c r="M23" s="63"/>
      <c r="N23" s="63"/>
      <c r="O23" s="63"/>
    </row>
    <row r="24" spans="1:15" ht="16.5" customHeight="1">
      <c r="A24" s="891" t="s">
        <v>270</v>
      </c>
      <c r="B24" s="892"/>
      <c r="C24" s="893"/>
      <c r="D24" s="1044" t="s">
        <v>271</v>
      </c>
      <c r="E24" s="1044"/>
      <c r="F24" s="1044"/>
      <c r="G24" s="1044"/>
      <c r="H24" s="1044"/>
      <c r="I24" s="1043" t="s">
        <v>272</v>
      </c>
      <c r="J24" s="1044"/>
      <c r="K24" s="1045"/>
      <c r="L24" s="63"/>
      <c r="M24" s="63"/>
      <c r="N24" s="63"/>
      <c r="O24" s="63"/>
    </row>
    <row r="25" spans="1:15" ht="16.5" customHeight="1">
      <c r="A25" s="897"/>
      <c r="B25" s="898"/>
      <c r="C25" s="899"/>
      <c r="D25" s="900"/>
      <c r="E25" s="898"/>
      <c r="F25" s="898"/>
      <c r="G25" s="898"/>
      <c r="H25" s="898"/>
      <c r="I25" s="901"/>
      <c r="J25" s="902"/>
      <c r="K25" s="903"/>
      <c r="L25" s="63"/>
      <c r="M25" s="63"/>
      <c r="N25" s="63"/>
      <c r="O25" s="63"/>
    </row>
    <row r="26" spans="1:15" ht="16.5" customHeight="1">
      <c r="A26" s="897"/>
      <c r="B26" s="898"/>
      <c r="C26" s="899"/>
      <c r="D26" s="904"/>
      <c r="E26" s="944" t="s">
        <v>492</v>
      </c>
      <c r="F26" s="905"/>
      <c r="G26" s="944" t="s">
        <v>495</v>
      </c>
      <c r="H26" s="905"/>
      <c r="I26" s="3"/>
      <c r="J26" s="946" t="s">
        <v>496</v>
      </c>
      <c r="K26" s="974"/>
      <c r="L26" s="63"/>
      <c r="M26" s="63"/>
      <c r="N26" s="63"/>
      <c r="O26" s="63"/>
    </row>
    <row r="27" spans="1:15" ht="16.5" customHeight="1">
      <c r="A27" s="897"/>
      <c r="B27" s="908" t="s">
        <v>489</v>
      </c>
      <c r="C27" s="899"/>
      <c r="D27" s="904"/>
      <c r="E27" s="909"/>
      <c r="F27" s="905"/>
      <c r="G27" s="905"/>
      <c r="H27" s="905"/>
      <c r="I27" s="3"/>
      <c r="K27" s="974"/>
      <c r="L27" s="63"/>
      <c r="M27" s="63"/>
      <c r="N27" s="63"/>
      <c r="O27" s="63"/>
    </row>
    <row r="28" spans="1:15" ht="16.5" customHeight="1">
      <c r="A28" s="897"/>
      <c r="B28" s="911"/>
      <c r="C28" s="899"/>
      <c r="D28" s="904"/>
      <c r="E28" s="944" t="s">
        <v>560</v>
      </c>
      <c r="F28" s="905"/>
      <c r="G28" s="905"/>
      <c r="H28" s="905"/>
      <c r="I28" s="906"/>
      <c r="J28" s="946" t="s">
        <v>561</v>
      </c>
      <c r="K28" s="907"/>
      <c r="L28" s="63"/>
      <c r="M28" s="63"/>
      <c r="N28" s="63"/>
      <c r="O28" s="63"/>
    </row>
    <row r="29" spans="1:15" ht="16.5" customHeight="1">
      <c r="A29" s="897"/>
      <c r="B29" s="908" t="s">
        <v>490</v>
      </c>
      <c r="C29" s="899"/>
      <c r="D29" s="904"/>
      <c r="E29" s="909"/>
      <c r="F29" s="905"/>
      <c r="G29" s="905"/>
      <c r="H29" s="905"/>
      <c r="I29" s="906"/>
      <c r="J29" s="910"/>
      <c r="K29" s="907"/>
      <c r="L29" s="63"/>
      <c r="M29" s="63"/>
      <c r="N29" s="63"/>
      <c r="O29" s="63"/>
    </row>
    <row r="30" spans="1:15" ht="16.5" customHeight="1">
      <c r="A30" s="897"/>
      <c r="B30" s="911"/>
      <c r="C30" s="899"/>
      <c r="D30" s="904"/>
      <c r="E30" s="944" t="s">
        <v>493</v>
      </c>
      <c r="F30" s="905"/>
      <c r="H30" s="905"/>
      <c r="I30" s="906"/>
      <c r="J30" s="946" t="s">
        <v>497</v>
      </c>
      <c r="K30" s="907"/>
      <c r="L30" s="63"/>
      <c r="M30" s="63"/>
      <c r="N30" s="63"/>
      <c r="O30" s="63"/>
    </row>
    <row r="31" spans="1:15" ht="16.5" customHeight="1">
      <c r="A31" s="897"/>
      <c r="B31" s="908" t="s">
        <v>491</v>
      </c>
      <c r="C31" s="899"/>
      <c r="D31" s="904"/>
      <c r="E31" s="909"/>
      <c r="F31" s="905"/>
      <c r="G31" s="905"/>
      <c r="H31" s="905"/>
      <c r="I31" s="906"/>
      <c r="J31" s="912"/>
      <c r="K31" s="907"/>
      <c r="L31" s="63"/>
      <c r="M31" s="63"/>
      <c r="N31" s="63"/>
      <c r="O31" s="63"/>
    </row>
    <row r="32" spans="1:15" ht="16.5" customHeight="1">
      <c r="A32" s="897"/>
      <c r="B32" s="898"/>
      <c r="C32" s="899"/>
      <c r="D32" s="904"/>
      <c r="E32" s="944" t="s">
        <v>494</v>
      </c>
      <c r="F32" s="905"/>
      <c r="G32" s="905"/>
      <c r="H32" s="905"/>
      <c r="I32" s="906"/>
      <c r="J32" s="946" t="s">
        <v>562</v>
      </c>
      <c r="K32" s="907"/>
      <c r="L32" s="63"/>
      <c r="M32" s="63"/>
      <c r="N32" s="63"/>
      <c r="O32" s="63"/>
    </row>
    <row r="33" spans="1:15" ht="16.5" customHeight="1">
      <c r="A33" s="913"/>
      <c r="B33" s="914"/>
      <c r="C33" s="915"/>
      <c r="D33" s="916"/>
      <c r="E33" s="916"/>
      <c r="F33" s="916"/>
      <c r="G33" s="916"/>
      <c r="H33" s="916"/>
      <c r="I33" s="917"/>
      <c r="J33" s="918"/>
      <c r="K33" s="919"/>
      <c r="L33" s="63"/>
      <c r="M33" s="63"/>
      <c r="N33" s="63"/>
      <c r="O33" s="63"/>
    </row>
    <row r="34" spans="1:15" ht="16.5" customHeight="1">
      <c r="A34" s="920"/>
      <c r="B34" s="920"/>
      <c r="C34" s="920"/>
      <c r="D34" s="1054" t="s">
        <v>487</v>
      </c>
      <c r="E34" s="1055"/>
      <c r="F34" s="1055"/>
      <c r="G34" s="1055"/>
      <c r="H34" s="1056"/>
      <c r="I34" s="921"/>
      <c r="J34" s="921"/>
      <c r="K34" s="920"/>
      <c r="L34" s="63"/>
      <c r="M34" s="63"/>
      <c r="N34" s="63"/>
      <c r="O34" s="63"/>
    </row>
    <row r="35" spans="1:15" ht="16.5" customHeight="1">
      <c r="A35" s="922"/>
      <c r="B35" s="922"/>
      <c r="C35" s="923"/>
      <c r="D35" s="924"/>
      <c r="E35" s="905"/>
      <c r="F35" s="905"/>
      <c r="G35" s="905"/>
      <c r="H35" s="925"/>
      <c r="I35" s="921"/>
      <c r="J35" s="921"/>
      <c r="K35" s="920"/>
      <c r="L35" s="63"/>
      <c r="M35" s="63"/>
      <c r="N35" s="63"/>
      <c r="O35" s="63"/>
    </row>
    <row r="36" spans="1:15" ht="16.5" customHeight="1">
      <c r="A36" s="926" t="s">
        <v>359</v>
      </c>
      <c r="B36" s="927"/>
      <c r="C36" s="923"/>
      <c r="D36" s="928"/>
      <c r="E36" s="945" t="s">
        <v>498</v>
      </c>
      <c r="F36" s="905"/>
      <c r="G36" s="945" t="s">
        <v>499</v>
      </c>
      <c r="H36" s="929"/>
      <c r="I36" s="921"/>
      <c r="J36" s="921"/>
      <c r="K36" s="920"/>
      <c r="L36" s="63"/>
      <c r="M36" s="63"/>
      <c r="N36" s="63"/>
      <c r="O36" s="63"/>
    </row>
    <row r="37" spans="1:15" ht="14.25" customHeight="1">
      <c r="A37" s="926"/>
      <c r="B37" s="927"/>
      <c r="C37" s="923"/>
      <c r="D37" s="969"/>
      <c r="E37" s="914"/>
      <c r="F37" s="914"/>
      <c r="G37" s="914"/>
      <c r="H37" s="915"/>
      <c r="I37" s="920"/>
      <c r="J37" s="920"/>
      <c r="K37" s="920"/>
      <c r="L37" s="63"/>
      <c r="M37" s="63"/>
      <c r="N37" s="63"/>
      <c r="O37" s="63"/>
    </row>
    <row r="38" spans="1:15">
      <c r="A38" s="927"/>
      <c r="B38" s="927"/>
      <c r="C38" s="970"/>
      <c r="D38" s="898"/>
      <c r="E38" s="898"/>
      <c r="F38" s="898"/>
      <c r="G38" s="898"/>
      <c r="H38" s="898"/>
      <c r="I38" s="920"/>
      <c r="J38" s="920"/>
      <c r="K38" s="920"/>
      <c r="L38" s="63"/>
      <c r="M38" s="63"/>
      <c r="N38" s="63"/>
      <c r="O38" s="63"/>
    </row>
    <row r="39" spans="1:15" ht="15">
      <c r="A39" s="844" t="s">
        <v>359</v>
      </c>
      <c r="B39" s="118">
        <v>1</v>
      </c>
      <c r="C39" s="118"/>
      <c r="D39" s="118"/>
      <c r="E39" s="63"/>
      <c r="F39" s="63"/>
      <c r="G39" s="63"/>
      <c r="H39" s="63"/>
      <c r="I39" s="63"/>
      <c r="J39" s="63"/>
      <c r="K39" s="63"/>
      <c r="L39" s="63"/>
      <c r="M39" s="63"/>
      <c r="N39" s="63"/>
      <c r="O39" s="63"/>
    </row>
    <row r="40" spans="1:15" ht="15">
      <c r="A40" s="844" t="s">
        <v>370</v>
      </c>
      <c r="B40" s="118">
        <v>2</v>
      </c>
      <c r="C40" s="118"/>
      <c r="D40" s="118"/>
      <c r="E40" s="63"/>
      <c r="F40" s="63"/>
      <c r="G40" s="63"/>
      <c r="H40" s="63"/>
      <c r="I40" s="63"/>
      <c r="J40" s="63"/>
      <c r="K40" s="63"/>
      <c r="L40" s="63"/>
      <c r="M40" s="63"/>
      <c r="N40" s="63"/>
      <c r="O40" s="63"/>
    </row>
    <row r="41" spans="1:15" ht="15">
      <c r="A41" s="844" t="s">
        <v>369</v>
      </c>
      <c r="B41" s="118">
        <v>3</v>
      </c>
      <c r="C41" s="118"/>
      <c r="D41" s="118"/>
      <c r="E41" s="63"/>
      <c r="F41" s="63"/>
      <c r="G41" s="63"/>
      <c r="H41" s="63"/>
      <c r="I41" s="63"/>
      <c r="J41" s="63"/>
      <c r="K41" s="63"/>
      <c r="L41" s="63"/>
      <c r="M41" s="63"/>
      <c r="N41" s="63"/>
      <c r="O41" s="63"/>
    </row>
    <row r="42" spans="1:15" ht="15">
      <c r="A42" s="844" t="s">
        <v>360</v>
      </c>
      <c r="B42" s="118">
        <v>4</v>
      </c>
      <c r="C42" s="118"/>
      <c r="D42" s="118"/>
      <c r="E42" s="63"/>
      <c r="F42" s="63"/>
      <c r="G42" s="63"/>
      <c r="H42" s="63"/>
      <c r="I42" s="63"/>
      <c r="J42" s="63"/>
      <c r="K42" s="63"/>
      <c r="L42" s="63"/>
      <c r="M42" s="63"/>
      <c r="N42" s="63"/>
      <c r="O42" s="63"/>
    </row>
    <row r="43" spans="1:15" ht="15">
      <c r="A43" s="844" t="s">
        <v>361</v>
      </c>
      <c r="B43" s="118">
        <v>5</v>
      </c>
      <c r="C43" s="118"/>
      <c r="D43" s="118"/>
      <c r="E43" s="63"/>
      <c r="F43" s="63"/>
      <c r="G43" s="63"/>
      <c r="H43" s="63"/>
      <c r="I43" s="63"/>
      <c r="J43" s="63"/>
      <c r="K43" s="63"/>
      <c r="L43" s="63"/>
      <c r="M43" s="63"/>
      <c r="N43" s="63"/>
      <c r="O43" s="63"/>
    </row>
    <row r="44" spans="1:15" ht="15">
      <c r="A44" s="844" t="s">
        <v>362</v>
      </c>
      <c r="B44" s="118">
        <v>6</v>
      </c>
      <c r="C44" s="118"/>
      <c r="D44" s="118"/>
      <c r="E44" s="63"/>
      <c r="F44" s="63"/>
      <c r="G44" s="63"/>
      <c r="H44" s="63"/>
      <c r="I44" s="63"/>
      <c r="J44" s="63"/>
      <c r="K44" s="63"/>
      <c r="L44" s="63"/>
      <c r="M44" s="63"/>
      <c r="N44" s="63"/>
      <c r="O44" s="63"/>
    </row>
    <row r="45" spans="1:15" ht="15">
      <c r="A45" s="844" t="s">
        <v>363</v>
      </c>
      <c r="B45" s="118">
        <v>7</v>
      </c>
      <c r="C45" s="118"/>
      <c r="D45" s="118"/>
      <c r="E45" s="63"/>
      <c r="F45" s="63"/>
      <c r="G45" s="63"/>
      <c r="H45" s="63"/>
      <c r="I45" s="63"/>
      <c r="J45" s="63"/>
      <c r="K45" s="63"/>
      <c r="L45" s="63"/>
      <c r="M45" s="63"/>
      <c r="N45" s="63"/>
      <c r="O45" s="63"/>
    </row>
    <row r="46" spans="1:15" ht="15">
      <c r="A46" s="844" t="s">
        <v>364</v>
      </c>
      <c r="B46" s="118">
        <v>8</v>
      </c>
      <c r="C46" s="118"/>
      <c r="D46" s="118"/>
      <c r="E46" s="63"/>
      <c r="F46" s="63"/>
      <c r="G46" s="63"/>
      <c r="H46" s="63"/>
      <c r="I46" s="63"/>
      <c r="J46" s="63"/>
      <c r="K46" s="63"/>
      <c r="L46" s="63"/>
      <c r="M46" s="63"/>
      <c r="N46" s="63"/>
      <c r="O46" s="63"/>
    </row>
    <row r="47" spans="1:15" ht="15">
      <c r="A47" s="844" t="s">
        <v>365</v>
      </c>
      <c r="B47" s="118">
        <v>9</v>
      </c>
      <c r="C47" s="118"/>
      <c r="D47" s="118"/>
      <c r="E47" s="63"/>
      <c r="F47" s="63"/>
      <c r="G47" s="63"/>
      <c r="H47" s="63"/>
      <c r="I47" s="63"/>
      <c r="J47" s="63"/>
      <c r="K47" s="63"/>
      <c r="L47" s="63"/>
      <c r="M47" s="63"/>
      <c r="N47" s="63"/>
      <c r="O47" s="63"/>
    </row>
    <row r="48" spans="1:15" ht="15.6">
      <c r="A48" s="845" t="s">
        <v>442</v>
      </c>
      <c r="B48" s="118">
        <v>10</v>
      </c>
      <c r="C48" s="118"/>
      <c r="D48" s="118"/>
      <c r="E48" s="63"/>
      <c r="F48" s="63"/>
      <c r="G48" s="63"/>
      <c r="H48" s="63"/>
      <c r="I48" s="63"/>
      <c r="J48" s="63"/>
      <c r="K48" s="63"/>
      <c r="L48" s="63"/>
      <c r="M48" s="63"/>
      <c r="N48" s="63"/>
      <c r="O48" s="63"/>
    </row>
    <row r="49" spans="1:15" ht="15">
      <c r="A49" s="844"/>
      <c r="B49" s="118"/>
      <c r="C49" s="118"/>
      <c r="D49" s="118"/>
      <c r="E49" s="63"/>
      <c r="F49" s="63"/>
      <c r="G49" s="63"/>
      <c r="H49" s="63"/>
      <c r="I49" s="63"/>
      <c r="J49" s="63"/>
      <c r="K49" s="63"/>
      <c r="L49" s="63"/>
      <c r="M49" s="63"/>
      <c r="N49" s="63"/>
      <c r="O49" s="63"/>
    </row>
    <row r="50" spans="1:15">
      <c r="A50" s="846">
        <f>IF(C15=A39,B39,IF(C15=A40,B40,IF(C15=A41,B41,IF(C15=A42,B42,IF(C15=A43,B43,IF(C15=A44,B44,IF(C15=A45,B45,IF(C15=A46,B46,IF(C15=A47,B47,IF(C15=A48,B48,1))))))))))</f>
        <v>1</v>
      </c>
      <c r="B50" s="118"/>
      <c r="C50" s="971"/>
      <c r="D50" s="971"/>
      <c r="E50" s="63"/>
      <c r="F50" s="63"/>
      <c r="G50" s="63"/>
      <c r="H50" s="63"/>
      <c r="I50" s="63"/>
      <c r="J50" s="63"/>
      <c r="K50" s="63"/>
      <c r="L50" s="63"/>
      <c r="M50" s="63"/>
      <c r="N50" s="63"/>
      <c r="O50" s="63"/>
    </row>
    <row r="51" spans="1:15">
      <c r="A51" s="971"/>
      <c r="B51" s="118"/>
      <c r="C51" s="971"/>
      <c r="D51" s="971"/>
      <c r="E51" s="63"/>
      <c r="F51" s="63"/>
      <c r="G51" s="63"/>
      <c r="H51" s="63"/>
      <c r="I51" s="63"/>
      <c r="J51" s="63"/>
      <c r="K51" s="63"/>
      <c r="L51" s="63"/>
      <c r="M51" s="63"/>
      <c r="N51" s="63"/>
      <c r="O51" s="63"/>
    </row>
    <row r="52" spans="1:15">
      <c r="A52" s="971"/>
      <c r="B52" s="118"/>
      <c r="C52" s="971"/>
      <c r="D52" s="971"/>
      <c r="E52" s="63"/>
      <c r="F52" s="63"/>
      <c r="G52" s="63"/>
      <c r="H52" s="63"/>
      <c r="I52" s="63"/>
      <c r="J52" s="63"/>
      <c r="K52" s="63"/>
      <c r="L52" s="63"/>
      <c r="M52" s="63"/>
      <c r="N52" s="63"/>
      <c r="O52" s="63"/>
    </row>
    <row r="53" spans="1:15">
      <c r="A53" s="971"/>
      <c r="B53" s="971"/>
      <c r="C53" s="63"/>
      <c r="D53" s="63"/>
      <c r="E53" s="63"/>
      <c r="F53" s="63"/>
      <c r="G53" s="63"/>
      <c r="H53" s="63"/>
      <c r="I53" s="63"/>
      <c r="J53" s="63"/>
      <c r="K53" s="63"/>
      <c r="L53" s="63"/>
      <c r="M53" s="63"/>
      <c r="N53" s="63"/>
      <c r="O53" s="63"/>
    </row>
    <row r="54" spans="1:15">
      <c r="A54" s="971"/>
      <c r="B54" s="971"/>
      <c r="C54" s="63"/>
      <c r="D54" s="63"/>
      <c r="E54" s="63"/>
      <c r="F54" s="63"/>
      <c r="G54" s="63"/>
      <c r="H54" s="63"/>
      <c r="I54" s="63"/>
      <c r="J54" s="63"/>
      <c r="K54" s="63"/>
      <c r="L54" s="63"/>
      <c r="M54" s="63"/>
      <c r="N54" s="63"/>
      <c r="O54" s="63"/>
    </row>
    <row r="55" spans="1:15">
      <c r="A55" s="971"/>
      <c r="B55" s="971"/>
      <c r="C55" s="63"/>
      <c r="D55" s="63"/>
      <c r="E55" s="63"/>
      <c r="F55" s="63"/>
      <c r="G55" s="63"/>
      <c r="H55" s="63"/>
      <c r="I55" s="63"/>
      <c r="J55" s="63"/>
      <c r="K55" s="63"/>
      <c r="L55" s="63"/>
      <c r="M55" s="63"/>
      <c r="N55" s="63"/>
      <c r="O55" s="63"/>
    </row>
    <row r="56" spans="1:15">
      <c r="A56" s="63"/>
      <c r="B56" s="63"/>
      <c r="C56" s="63"/>
      <c r="D56" s="63"/>
      <c r="E56" s="63"/>
      <c r="F56" s="63"/>
      <c r="G56" s="63"/>
      <c r="H56" s="63"/>
      <c r="I56" s="63"/>
      <c r="J56" s="63"/>
      <c r="K56" s="63"/>
      <c r="L56" s="63"/>
      <c r="M56" s="63"/>
      <c r="N56" s="63"/>
      <c r="O56" s="63"/>
    </row>
    <row r="57" spans="1:15">
      <c r="A57" s="63"/>
      <c r="B57" s="63"/>
      <c r="C57" s="63"/>
      <c r="D57" s="63"/>
      <c r="E57" s="63"/>
      <c r="F57" s="63"/>
      <c r="G57" s="63"/>
      <c r="H57" s="63"/>
      <c r="I57" s="63"/>
      <c r="J57" s="63"/>
      <c r="K57" s="63"/>
      <c r="L57" s="63"/>
      <c r="M57" s="63"/>
      <c r="N57" s="63"/>
      <c r="O57" s="63"/>
    </row>
    <row r="58" spans="1:15">
      <c r="A58" s="63"/>
      <c r="B58" s="63"/>
      <c r="C58" s="63"/>
      <c r="D58" s="63"/>
      <c r="E58" s="63"/>
      <c r="F58" s="63"/>
      <c r="G58" s="63"/>
      <c r="H58" s="63"/>
      <c r="I58" s="63"/>
      <c r="J58" s="63"/>
      <c r="K58" s="63"/>
      <c r="L58" s="63"/>
      <c r="M58" s="63"/>
      <c r="N58" s="63"/>
      <c r="O58" s="63"/>
    </row>
    <row r="59" spans="1:15">
      <c r="A59" s="63"/>
      <c r="B59" s="63"/>
      <c r="C59" s="63"/>
      <c r="D59" s="63"/>
      <c r="E59" s="63"/>
      <c r="F59" s="63"/>
      <c r="G59" s="63"/>
      <c r="H59" s="63"/>
      <c r="I59" s="63"/>
      <c r="J59" s="63"/>
      <c r="K59" s="63"/>
      <c r="L59" s="63"/>
      <c r="M59" s="63"/>
      <c r="N59" s="63"/>
      <c r="O59" s="63"/>
    </row>
    <row r="60" spans="1:15">
      <c r="A60" s="63"/>
      <c r="B60" s="63"/>
      <c r="C60" s="63"/>
      <c r="D60" s="63"/>
      <c r="E60" s="63"/>
      <c r="F60" s="63"/>
      <c r="G60" s="63"/>
      <c r="H60" s="63"/>
      <c r="I60" s="63"/>
      <c r="J60" s="63"/>
      <c r="K60" s="63"/>
      <c r="L60" s="63"/>
      <c r="M60" s="63"/>
      <c r="N60" s="63"/>
      <c r="O60" s="63"/>
    </row>
    <row r="61" spans="1:15">
      <c r="A61" s="971" t="s">
        <v>81</v>
      </c>
      <c r="B61" s="63"/>
      <c r="C61" s="63"/>
      <c r="D61" s="63"/>
      <c r="E61" s="63"/>
      <c r="F61" s="63"/>
      <c r="G61" s="63"/>
      <c r="H61" s="63"/>
      <c r="I61" s="63"/>
      <c r="J61" s="63"/>
      <c r="K61" s="63"/>
      <c r="L61" s="63"/>
      <c r="M61" s="63"/>
      <c r="N61" s="63"/>
      <c r="O61" s="63"/>
    </row>
    <row r="62" spans="1:15">
      <c r="A62" s="971" t="s">
        <v>80</v>
      </c>
      <c r="B62" s="63"/>
      <c r="C62" s="63"/>
      <c r="D62" s="63"/>
      <c r="E62" s="63"/>
      <c r="F62" s="63"/>
      <c r="G62" s="63"/>
      <c r="H62" s="63"/>
      <c r="I62" s="63"/>
      <c r="J62" s="63"/>
      <c r="K62" s="63"/>
      <c r="L62" s="63"/>
      <c r="M62" s="63"/>
      <c r="N62" s="63"/>
      <c r="O62" s="63"/>
    </row>
    <row r="63" spans="1:15">
      <c r="A63" s="63"/>
      <c r="B63" s="63"/>
      <c r="C63" s="63"/>
      <c r="D63" s="63"/>
      <c r="E63" s="63"/>
      <c r="F63" s="63"/>
      <c r="G63" s="63"/>
      <c r="H63" s="63"/>
      <c r="I63" s="63"/>
      <c r="J63" s="63"/>
      <c r="K63" s="63"/>
      <c r="L63" s="63"/>
      <c r="M63" s="63"/>
      <c r="N63" s="63"/>
      <c r="O63" s="63"/>
    </row>
    <row r="64" spans="1:15">
      <c r="A64" s="63"/>
      <c r="B64" s="63"/>
      <c r="C64" s="63"/>
      <c r="D64" s="63"/>
      <c r="E64" s="63"/>
      <c r="F64" s="63"/>
      <c r="G64" s="63"/>
      <c r="H64" s="63"/>
      <c r="I64" s="63"/>
      <c r="J64" s="63"/>
      <c r="K64" s="63"/>
      <c r="L64" s="63"/>
      <c r="M64" s="63"/>
      <c r="N64" s="63"/>
      <c r="O64" s="63"/>
    </row>
    <row r="65" spans="1:15">
      <c r="A65" s="63"/>
      <c r="B65" s="63"/>
      <c r="C65" s="63"/>
      <c r="D65" s="63"/>
      <c r="E65" s="63"/>
      <c r="F65" s="63"/>
      <c r="G65" s="63"/>
      <c r="H65" s="63"/>
      <c r="I65" s="63"/>
      <c r="J65" s="63"/>
      <c r="K65" s="63"/>
      <c r="L65" s="63"/>
      <c r="M65" s="63"/>
      <c r="N65" s="63"/>
      <c r="O65" s="63"/>
    </row>
    <row r="66" spans="1:15">
      <c r="A66" s="63"/>
      <c r="B66" s="63"/>
      <c r="C66" s="63"/>
      <c r="D66" s="63"/>
      <c r="E66" s="63"/>
      <c r="F66" s="63"/>
      <c r="G66" s="63"/>
      <c r="H66" s="63"/>
      <c r="I66" s="63"/>
      <c r="J66" s="63"/>
      <c r="K66" s="63"/>
      <c r="L66" s="63"/>
      <c r="M66" s="63"/>
      <c r="N66" s="63"/>
      <c r="O66" s="63"/>
    </row>
    <row r="67" spans="1:15">
      <c r="A67" s="63"/>
      <c r="B67" s="63"/>
      <c r="C67" s="63"/>
      <c r="D67" s="63"/>
      <c r="E67" s="63"/>
      <c r="F67" s="63"/>
      <c r="G67" s="63"/>
      <c r="H67" s="63"/>
      <c r="I67" s="63"/>
      <c r="J67" s="63"/>
      <c r="K67" s="63"/>
      <c r="L67" s="63"/>
      <c r="M67" s="63"/>
      <c r="N67" s="63"/>
      <c r="O67" s="63"/>
    </row>
    <row r="68" spans="1:15">
      <c r="A68" s="63"/>
      <c r="B68" s="63"/>
      <c r="C68" s="63"/>
      <c r="D68" s="63"/>
      <c r="E68" s="63"/>
      <c r="F68" s="63"/>
      <c r="G68" s="63"/>
      <c r="H68" s="63"/>
      <c r="I68" s="63"/>
      <c r="J68" s="63"/>
      <c r="K68" s="63"/>
      <c r="L68" s="63"/>
      <c r="M68" s="63"/>
      <c r="N68" s="63"/>
      <c r="O68" s="63"/>
    </row>
    <row r="69" spans="1:15">
      <c r="A69" s="63"/>
      <c r="B69" s="63"/>
      <c r="C69" s="63"/>
      <c r="D69" s="63"/>
      <c r="E69" s="63"/>
      <c r="F69" s="63"/>
      <c r="G69" s="63"/>
      <c r="H69" s="63"/>
      <c r="I69" s="63"/>
      <c r="J69" s="63"/>
      <c r="K69" s="63"/>
      <c r="L69" s="63"/>
      <c r="M69" s="63"/>
      <c r="N69" s="63"/>
      <c r="O69" s="63"/>
    </row>
    <row r="70" spans="1:15">
      <c r="A70" s="63"/>
      <c r="B70" s="63"/>
      <c r="C70" s="63"/>
      <c r="D70" s="63"/>
      <c r="E70" s="63"/>
      <c r="F70" s="63"/>
      <c r="G70" s="63"/>
      <c r="H70" s="63"/>
      <c r="I70" s="63"/>
      <c r="J70" s="63"/>
      <c r="K70" s="63"/>
      <c r="L70" s="63"/>
      <c r="M70" s="63"/>
      <c r="N70" s="63"/>
      <c r="O70" s="63"/>
    </row>
    <row r="71" spans="1:15">
      <c r="A71" s="63"/>
      <c r="B71" s="63"/>
      <c r="C71" s="63"/>
      <c r="D71" s="63"/>
      <c r="E71" s="63"/>
      <c r="F71" s="63"/>
      <c r="G71" s="63"/>
      <c r="H71" s="63"/>
      <c r="I71" s="63"/>
      <c r="J71" s="63"/>
      <c r="K71" s="63"/>
      <c r="L71" s="63"/>
      <c r="M71" s="63"/>
      <c r="N71" s="63"/>
      <c r="O71" s="63"/>
    </row>
    <row r="72" spans="1:15">
      <c r="A72" s="63"/>
      <c r="B72" s="63"/>
      <c r="C72" s="63"/>
      <c r="D72" s="63"/>
      <c r="E72" s="63"/>
      <c r="F72" s="63"/>
      <c r="G72" s="63"/>
      <c r="H72" s="63"/>
      <c r="I72" s="63"/>
      <c r="J72" s="63"/>
      <c r="K72" s="63"/>
      <c r="L72" s="63"/>
      <c r="M72" s="63"/>
      <c r="N72" s="63"/>
      <c r="O72" s="63"/>
    </row>
    <row r="73" spans="1:15">
      <c r="A73" s="63"/>
      <c r="B73" s="63"/>
      <c r="C73" s="63"/>
      <c r="D73" s="63"/>
      <c r="E73" s="63"/>
      <c r="F73" s="63"/>
      <c r="G73" s="63"/>
      <c r="H73" s="63"/>
      <c r="I73" s="63"/>
      <c r="J73" s="63"/>
      <c r="K73" s="63"/>
      <c r="L73" s="63"/>
      <c r="M73" s="63"/>
      <c r="N73" s="63"/>
      <c r="O73" s="63"/>
    </row>
    <row r="74" spans="1:15">
      <c r="A74" s="63"/>
      <c r="B74" s="63"/>
      <c r="C74" s="63"/>
      <c r="D74" s="63"/>
      <c r="E74" s="63"/>
      <c r="F74" s="63"/>
      <c r="G74" s="63"/>
      <c r="H74" s="63"/>
      <c r="I74" s="63"/>
      <c r="J74" s="63"/>
      <c r="K74" s="63"/>
      <c r="L74" s="63"/>
      <c r="M74" s="63"/>
      <c r="N74" s="63"/>
      <c r="O74" s="63"/>
    </row>
    <row r="75" spans="1:15">
      <c r="A75" s="63"/>
      <c r="B75" s="63"/>
      <c r="C75" s="63"/>
      <c r="D75" s="63"/>
      <c r="E75" s="63"/>
      <c r="F75" s="63"/>
      <c r="G75" s="63"/>
      <c r="H75" s="63"/>
      <c r="I75" s="63"/>
      <c r="J75" s="63"/>
      <c r="K75" s="63"/>
      <c r="L75" s="63"/>
      <c r="M75" s="63"/>
      <c r="N75" s="63"/>
      <c r="O75" s="63"/>
    </row>
  </sheetData>
  <sheetProtection password="EAD7" sheet="1" objects="1" scenarios="1"/>
  <dataConsolidate/>
  <mergeCells count="17">
    <mergeCell ref="G9:H9"/>
    <mergeCell ref="G11:H11"/>
    <mergeCell ref="D34:H34"/>
    <mergeCell ref="C7:E7"/>
    <mergeCell ref="C8:E8"/>
    <mergeCell ref="C9:E9"/>
    <mergeCell ref="C10:E10"/>
    <mergeCell ref="C12:E12"/>
    <mergeCell ref="D24:H24"/>
    <mergeCell ref="I24:K24"/>
    <mergeCell ref="D16:E16"/>
    <mergeCell ref="C11:E11"/>
    <mergeCell ref="C13:E13"/>
    <mergeCell ref="C14:E14"/>
    <mergeCell ref="D23:H23"/>
    <mergeCell ref="C15:E15"/>
    <mergeCell ref="D18:E18"/>
  </mergeCells>
  <dataValidations count="3">
    <dataValidation type="list" allowBlank="1" showInputMessage="1" showErrorMessage="1" errorTitle="Ungültige Rechtsform" error="Bitte wählen Sie aus einer der Rechtsformen, die in der Dropdown-Auswahlliste aufgeführt sind." sqref="C15:E15" xr:uid="{00000000-0002-0000-0000-000000000000}">
      <formula1>$A$39:$A$48</formula1>
    </dataValidation>
    <dataValidation type="date" operator="greaterThan" allowBlank="1" showInputMessage="1" showErrorMessage="1" errorTitle="Fehlerhafte Datumsangabe" error="Bitte geben Sie ein konkretes Datum inklusive Tag, Monat und Jahr an." sqref="D16:E17" xr:uid="{00000000-0002-0000-0000-000001000000}">
      <formula1>1</formula1>
    </dataValidation>
    <dataValidation type="list" allowBlank="1" showInputMessage="1" showErrorMessage="1" errorTitle="Fehlerhafte Angabe" error="Bitte beantworten Sie die Frage zur Kleinunternehmerregelung mit &quot;ja&quot; oder &quot;nein&quot;!" sqref="D18:E18" xr:uid="{00000000-0002-0000-0000-000002000000}">
      <formula1>$A$61:$A$62</formula1>
    </dataValidation>
  </dataValidations>
  <hyperlinks>
    <hyperlink ref="B27" location="Kapitalbedarf!C13" display="Kapitalbedarf" xr:uid="{00000000-0004-0000-0000-000000000000}"/>
    <hyperlink ref="B29" location="Finanzierung!C11" display="Finanzierung" xr:uid="{00000000-0004-0000-0000-000001000000}"/>
    <hyperlink ref="B31" location="'Zins und Tilgung'!E2" display="Zins und Tilgung" xr:uid="{00000000-0004-0000-0000-000002000000}"/>
    <hyperlink ref="E36" location="Umsatzplanung!E18" display="Umsatzplanung" xr:uid="{00000000-0004-0000-0000-000003000000}"/>
    <hyperlink ref="G9:H9" location="Bearbeitungshinweise!I2" display="Bearbeitungshinweise" xr:uid="{00000000-0004-0000-0000-000004000000}"/>
    <hyperlink ref="G11:H11" location="Deckblatt!H2" display="Deckblatt" xr:uid="{00000000-0004-0000-0000-000005000000}"/>
    <hyperlink ref="E28" location="'Personalkosten 2. Jahr'!B15" display="Personalksoten 2. Jahr" xr:uid="{00000000-0004-0000-0000-000006000000}"/>
    <hyperlink ref="E30" location="'Personalkosten 3. Jahr'!B15" display="Personalkosten 3. Jahr" xr:uid="{00000000-0004-0000-0000-000007000000}"/>
    <hyperlink ref="E32" location="'übrige Kosten'!C10" display="übrige Kosten" xr:uid="{00000000-0004-0000-0000-000008000000}"/>
    <hyperlink ref="G26:H26" location="Unternehmerlohn!D10" display="Unternehmerlohn" xr:uid="{00000000-0004-0000-0000-000009000000}"/>
    <hyperlink ref="G30:H30" location="Rentabilität!B8" display="Rentabilität" xr:uid="{00000000-0004-0000-0000-00000A000000}"/>
    <hyperlink ref="J28:K28" location="'Liquiditätsplan-1.Jahr'!B4" display="Liquiditäsplan 1. Jahr" xr:uid="{00000000-0004-0000-0000-00000B000000}"/>
    <hyperlink ref="J30:K30" location="'Liquiditätsplan-2.Jahr'!D11" display="Liquiditätsplan 2. Jahr" xr:uid="{00000000-0004-0000-0000-00000C000000}"/>
    <hyperlink ref="J32:K32" location="'Liquiditätsplan-3.Jahr'!D11" display="Liquiditäsplan 3. Jahr" xr:uid="{00000000-0004-0000-0000-00000D000000}"/>
    <hyperlink ref="G36:H36" location="'Stundenkostensatz '!E5" display="Stundenkostensatz" xr:uid="{00000000-0004-0000-0000-00000E000000}"/>
    <hyperlink ref="E26" location="'Personalkosten 1. Jahr'!D15" display="Personalkosten 1. Jahr" xr:uid="{00000000-0004-0000-0000-00000F000000}"/>
    <hyperlink ref="J26" location="Rentabilität!D12" display="Rentabilität" xr:uid="{00000000-0004-0000-0000-000010000000}"/>
    <hyperlink ref="G26" location="Unternehmerlohn!F13" display="Unternehmerlohn" xr:uid="{00000000-0004-0000-0000-000011000000}"/>
    <hyperlink ref="G36" location="'Stundenkostensatz '!E8" display="Stundenkostensatz" xr:uid="{00000000-0004-0000-0000-000012000000}"/>
    <hyperlink ref="J28" location="'Liquiditätsplan-1.Jahr'!B7" display="Liquiditäsplan 1. Jahr" xr:uid="{00000000-0004-0000-0000-000013000000}"/>
    <hyperlink ref="J30" location="'Liquiditätsplan-2.Jahr'!D14" display="Liquiditätsplan 2. Jahr" xr:uid="{00000000-0004-0000-0000-000014000000}"/>
    <hyperlink ref="J32" location="'Liquiditätsplan-3.Jahr'!D14" display="Liquiditäsplan 3. Jahr" xr:uid="{00000000-0004-0000-0000-000015000000}"/>
  </hyperlinks>
  <pageMargins left="0.23622047244094491" right="0.51181102362204722" top="0.98425196850393704" bottom="0.98425196850393704" header="0.51181102362204722" footer="0.51181102362204722"/>
  <pageSetup paperSize="9" scale="80" orientation="landscape" horizontalDpi="300" verticalDpi="300" r:id="rId1"/>
  <headerFooter alignWithMargins="0"/>
  <rowBreaks count="1" manualBreakCount="1">
    <brk id="39"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22111">
    <tabColor theme="4" tint="0.79998168889431442"/>
    <pageSetUpPr fitToPage="1"/>
  </sheetPr>
  <dimension ref="A1:AN599"/>
  <sheetViews>
    <sheetView showGridLines="0" topLeftCell="A8" zoomScale="90" zoomScaleNormal="90" workbookViewId="0">
      <selection activeCell="B15" sqref="B15"/>
    </sheetView>
  </sheetViews>
  <sheetFormatPr baseColWidth="10" defaultColWidth="11.44140625" defaultRowHeight="13.2" outlineLevelRow="1" outlineLevelCol="1"/>
  <cols>
    <col min="1" max="1" width="4.6640625" style="14" customWidth="1"/>
    <col min="2" max="2" width="35.33203125" style="14" customWidth="1"/>
    <col min="3" max="3" width="7.44140625" style="18" customWidth="1"/>
    <col min="4" max="4" width="8.5546875" style="14" customWidth="1"/>
    <col min="5" max="5" width="9.6640625" style="14" customWidth="1"/>
    <col min="6" max="6" width="10.109375" style="14" customWidth="1"/>
    <col min="7" max="7" width="8.44140625" style="14" customWidth="1"/>
    <col min="8" max="8" width="11.6640625" style="14" customWidth="1"/>
    <col min="9" max="9" width="15.88671875" style="14" customWidth="1"/>
    <col min="10" max="10" width="16" style="14" customWidth="1"/>
    <col min="11" max="11" width="15.44140625" style="14" customWidth="1"/>
    <col min="12" max="12" width="12.44140625" style="14" customWidth="1"/>
    <col min="13" max="13" width="14.88671875" style="14" customWidth="1"/>
    <col min="14" max="16" width="12" style="14" hidden="1" customWidth="1" outlineLevel="1"/>
    <col min="17" max="17" width="30.44140625" style="19" customWidth="1" collapsed="1"/>
    <col min="18" max="18" width="15.88671875" style="19" customWidth="1"/>
    <col min="19" max="25" width="11.44140625" style="19"/>
    <col min="26" max="26" width="11.44140625" style="990"/>
    <col min="27" max="27" width="11.44140625" style="986"/>
    <col min="28" max="40" width="11.44140625" style="19"/>
    <col min="41" max="16384" width="11.44140625" style="14"/>
  </cols>
  <sheetData>
    <row r="1" spans="1:40">
      <c r="Q1" s="14"/>
      <c r="R1" s="261"/>
      <c r="S1" s="261"/>
      <c r="T1" s="261"/>
      <c r="U1" s="261"/>
      <c r="V1" s="261"/>
      <c r="W1" s="261"/>
      <c r="X1" s="261"/>
      <c r="Y1" s="261"/>
      <c r="Z1" s="976"/>
      <c r="AA1" s="950"/>
      <c r="AB1" s="266"/>
      <c r="AC1" s="266"/>
      <c r="AD1" s="44"/>
      <c r="AE1" s="44"/>
      <c r="AF1" s="44"/>
      <c r="AG1" s="44"/>
      <c r="AH1" s="44"/>
      <c r="AI1" s="44"/>
      <c r="AJ1" s="44"/>
      <c r="AK1" s="44"/>
      <c r="AL1" s="44"/>
      <c r="AM1" s="44"/>
      <c r="AN1" s="44"/>
    </row>
    <row r="2" spans="1:40">
      <c r="I2" s="1146" t="s">
        <v>503</v>
      </c>
      <c r="J2" s="1147"/>
      <c r="L2" s="1144" t="s">
        <v>502</v>
      </c>
      <c r="M2" s="1145"/>
      <c r="Q2" s="261"/>
      <c r="R2" s="261"/>
      <c r="S2" s="261"/>
      <c r="T2" s="261"/>
      <c r="U2" s="261"/>
      <c r="V2" s="261"/>
      <c r="W2" s="261"/>
      <c r="X2" s="261"/>
      <c r="Y2" s="261"/>
      <c r="Z2" s="976"/>
      <c r="AA2" s="950"/>
      <c r="AB2" s="266"/>
      <c r="AC2" s="266"/>
      <c r="AD2" s="266"/>
      <c r="AE2" s="44"/>
      <c r="AF2" s="44"/>
      <c r="AG2" s="44"/>
      <c r="AH2" s="44"/>
      <c r="AI2" s="44"/>
      <c r="AJ2" s="44"/>
      <c r="AK2" s="44"/>
      <c r="AL2" s="44"/>
      <c r="AM2" s="44"/>
      <c r="AN2" s="44"/>
    </row>
    <row r="3" spans="1:40">
      <c r="Q3" s="14"/>
      <c r="R3" s="261"/>
      <c r="S3" s="261"/>
      <c r="T3" s="261"/>
      <c r="U3" s="261"/>
      <c r="V3" s="261"/>
      <c r="W3" s="261"/>
      <c r="X3" s="261"/>
      <c r="Y3" s="261"/>
      <c r="Z3" s="976"/>
      <c r="AA3" s="950"/>
      <c r="AB3" s="266"/>
      <c r="AC3" s="266"/>
      <c r="AD3" s="44"/>
      <c r="AE3" s="44"/>
      <c r="AF3" s="44"/>
      <c r="AG3" s="44"/>
      <c r="AH3" s="44"/>
      <c r="AI3" s="44"/>
      <c r="AJ3" s="44"/>
      <c r="AK3" s="44"/>
      <c r="AL3" s="44"/>
      <c r="AM3" s="44"/>
      <c r="AN3" s="44"/>
    </row>
    <row r="4" spans="1:40" ht="16.5" customHeight="1">
      <c r="A4" s="116" t="str">
        <f xml:space="preserve"> CONCATENATE( "Personalkosten 3. Jahr des Unternehmens:  ", Startseite!C14)</f>
        <v xml:space="preserve">Personalkosten 3. Jahr des Unternehmens:  </v>
      </c>
      <c r="B4" s="256"/>
      <c r="C4" s="257"/>
      <c r="D4" s="256"/>
      <c r="E4" s="256"/>
      <c r="F4" s="256"/>
      <c r="G4" s="256"/>
      <c r="H4" s="256"/>
      <c r="I4" s="258" t="str">
        <f>IF(Startseite!D16=0,"","         Planungszeitraum:")</f>
        <v xml:space="preserve">         Planungszeitraum:</v>
      </c>
      <c r="J4" s="258"/>
      <c r="K4" s="259">
        <f>IF(Startseite!D16="","",'Personalkosten 2. Jahr'!M4+30)</f>
        <v>46337</v>
      </c>
      <c r="L4" s="344" t="s">
        <v>196</v>
      </c>
      <c r="M4" s="259">
        <f>IF(K4="","",K4+330)</f>
        <v>46667</v>
      </c>
      <c r="N4" s="256"/>
      <c r="O4" s="256"/>
      <c r="P4" s="256"/>
      <c r="Q4" s="261"/>
      <c r="R4" s="261"/>
      <c r="S4" s="261"/>
      <c r="T4" s="261"/>
      <c r="U4" s="261"/>
      <c r="V4" s="261"/>
      <c r="W4" s="261"/>
      <c r="X4" s="261"/>
      <c r="Y4" s="261"/>
      <c r="Z4" s="976"/>
      <c r="AA4" s="950"/>
      <c r="AB4" s="266"/>
      <c r="AC4" s="266"/>
      <c r="AD4" s="950"/>
      <c r="AE4" s="951"/>
      <c r="AF4" s="951"/>
      <c r="AG4" s="951"/>
      <c r="AH4" s="44"/>
      <c r="AI4" s="44"/>
      <c r="AJ4" s="44"/>
      <c r="AK4" s="44"/>
      <c r="AL4" s="44"/>
      <c r="AM4" s="44"/>
      <c r="AN4" s="44"/>
    </row>
    <row r="5" spans="1:40" ht="24.6">
      <c r="A5" s="263"/>
      <c r="B5" s="256"/>
      <c r="C5" s="257"/>
      <c r="D5" s="256"/>
      <c r="E5" s="256"/>
      <c r="F5" s="258"/>
      <c r="G5" s="258"/>
      <c r="H5" s="258"/>
      <c r="I5" s="256"/>
      <c r="J5" s="264"/>
      <c r="K5" s="260"/>
      <c r="L5" s="265"/>
      <c r="M5" s="256"/>
      <c r="N5" s="256"/>
      <c r="O5" s="256"/>
      <c r="P5" s="256"/>
      <c r="Q5" s="14"/>
      <c r="R5" s="261"/>
      <c r="S5" s="261"/>
      <c r="T5" s="261"/>
      <c r="U5" s="261"/>
      <c r="V5" s="261"/>
      <c r="W5" s="261"/>
      <c r="X5" s="261"/>
      <c r="Y5" s="261"/>
      <c r="Z5" s="976"/>
      <c r="AA5" s="950"/>
      <c r="AB5" s="266"/>
      <c r="AC5" s="266"/>
      <c r="AD5" s="950" t="s">
        <v>182</v>
      </c>
      <c r="AE5" s="951"/>
      <c r="AF5" s="951"/>
      <c r="AG5" s="951">
        <f>$P$39</f>
        <v>0</v>
      </c>
      <c r="AH5" s="44"/>
      <c r="AI5" s="44"/>
      <c r="AJ5" s="44"/>
      <c r="AK5" s="44"/>
      <c r="AL5" s="44"/>
      <c r="AM5" s="44"/>
      <c r="AN5" s="44"/>
    </row>
    <row r="6" spans="1:40" ht="20.100000000000001" customHeight="1">
      <c r="A6" s="256"/>
      <c r="B6" s="256"/>
      <c r="C6" s="257"/>
      <c r="D6" s="256"/>
      <c r="E6" s="256"/>
      <c r="F6" s="256"/>
      <c r="G6" s="268" t="s">
        <v>10</v>
      </c>
      <c r="H6" s="256"/>
      <c r="I6" s="256"/>
      <c r="J6" s="865">
        <f>'Personalkosten 2. Jahr'!J6</f>
        <v>1.2513999999999996</v>
      </c>
      <c r="K6" s="256"/>
      <c r="L6" s="256"/>
      <c r="M6" s="256"/>
      <c r="N6" s="256"/>
      <c r="O6" s="256"/>
      <c r="P6" s="256"/>
      <c r="Q6" s="262"/>
      <c r="R6" s="261"/>
      <c r="S6" s="261"/>
      <c r="T6" s="261"/>
      <c r="U6" s="261"/>
      <c r="V6" s="261"/>
      <c r="W6" s="261"/>
      <c r="X6" s="261"/>
      <c r="Y6" s="261"/>
      <c r="Z6" s="976"/>
      <c r="AA6" s="950"/>
      <c r="AB6" s="266"/>
      <c r="AC6" s="266"/>
      <c r="AD6" s="950" t="s">
        <v>257</v>
      </c>
      <c r="AE6" s="951"/>
      <c r="AF6" s="951"/>
      <c r="AG6" s="951">
        <f>Rentabilität!$J$22</f>
        <v>0</v>
      </c>
      <c r="AH6" s="44"/>
      <c r="AI6" s="44"/>
      <c r="AJ6" s="44"/>
      <c r="AK6" s="44"/>
      <c r="AL6" s="44"/>
      <c r="AM6" s="44"/>
      <c r="AN6" s="44"/>
    </row>
    <row r="7" spans="1:40" ht="20.100000000000001" customHeight="1">
      <c r="A7" s="256"/>
      <c r="B7" s="256"/>
      <c r="C7" s="257"/>
      <c r="D7" s="256"/>
      <c r="E7" s="256"/>
      <c r="F7" s="256"/>
      <c r="G7" s="268" t="s">
        <v>316</v>
      </c>
      <c r="H7" s="269"/>
      <c r="I7" s="256"/>
      <c r="J7" s="270">
        <f>'Personalkosten 2. Jahr'!J7</f>
        <v>1.3179999999999996</v>
      </c>
      <c r="K7" s="256"/>
      <c r="L7" s="256"/>
      <c r="M7" s="256"/>
      <c r="N7" s="256"/>
      <c r="O7" s="256"/>
      <c r="P7" s="256"/>
      <c r="Q7" s="14"/>
      <c r="R7" s="261"/>
      <c r="S7" s="261"/>
      <c r="T7" s="261"/>
      <c r="U7" s="261"/>
      <c r="V7" s="261"/>
      <c r="W7" s="261"/>
      <c r="X7" s="261"/>
      <c r="Y7" s="261"/>
      <c r="Z7" s="976"/>
      <c r="AA7" s="950"/>
      <c r="AB7" s="266"/>
      <c r="AC7" s="266"/>
      <c r="AD7" s="950" t="s">
        <v>185</v>
      </c>
      <c r="AE7" s="951"/>
      <c r="AF7" s="951"/>
      <c r="AG7" s="951">
        <f>Rentabilität!$J$23</f>
        <v>0</v>
      </c>
      <c r="AH7" s="44"/>
      <c r="AI7" s="44"/>
      <c r="AJ7" s="44"/>
      <c r="AK7" s="44"/>
      <c r="AL7" s="44"/>
      <c r="AM7" s="44"/>
      <c r="AN7" s="44"/>
    </row>
    <row r="8" spans="1:40">
      <c r="A8" s="256"/>
      <c r="B8" s="256"/>
      <c r="C8" s="257"/>
      <c r="D8" s="256"/>
      <c r="E8" s="256"/>
      <c r="F8" s="256"/>
      <c r="G8" s="256"/>
      <c r="H8" s="256"/>
      <c r="I8" s="256"/>
      <c r="J8" s="256"/>
      <c r="K8" s="256"/>
      <c r="L8" s="256"/>
      <c r="M8" s="256"/>
      <c r="N8" s="256"/>
      <c r="O8" s="256"/>
      <c r="P8" s="256"/>
      <c r="Q8" s="261"/>
      <c r="R8" s="261"/>
      <c r="S8" s="261"/>
      <c r="T8" s="261"/>
      <c r="U8" s="261"/>
      <c r="V8" s="261"/>
      <c r="W8" s="261"/>
      <c r="X8" s="261"/>
      <c r="Y8" s="261"/>
      <c r="Z8" s="976"/>
      <c r="AA8" s="950"/>
      <c r="AB8" s="266"/>
      <c r="AC8" s="266"/>
      <c r="AD8" s="950" t="s">
        <v>184</v>
      </c>
      <c r="AE8" s="951"/>
      <c r="AF8" s="951"/>
      <c r="AG8" s="951" t="str">
        <f>IF((AG6-AG7)&lt;0,0,IF(AG5=0,"",(AG6-AG7)/AG5))</f>
        <v/>
      </c>
      <c r="AH8" s="44"/>
      <c r="AI8" s="44"/>
      <c r="AJ8" s="44"/>
      <c r="AK8" s="44"/>
      <c r="AL8" s="44"/>
      <c r="AM8" s="44"/>
      <c r="AN8" s="44"/>
    </row>
    <row r="9" spans="1:40" ht="23.25" customHeight="1">
      <c r="A9" s="272"/>
      <c r="B9" s="272"/>
      <c r="C9" s="345"/>
      <c r="D9" s="274"/>
      <c r="E9" s="275"/>
      <c r="F9" s="1136" t="s">
        <v>52</v>
      </c>
      <c r="G9" s="1137"/>
      <c r="H9" s="1138"/>
      <c r="I9" s="256"/>
      <c r="J9" s="256"/>
      <c r="K9" s="256"/>
      <c r="L9" s="256"/>
      <c r="M9" s="256"/>
      <c r="N9" s="1141" t="s">
        <v>197</v>
      </c>
      <c r="O9" s="1142"/>
      <c r="P9" s="1143"/>
      <c r="Q9" s="261"/>
      <c r="R9" s="261"/>
      <c r="S9" s="261"/>
      <c r="T9" s="261"/>
      <c r="U9" s="261"/>
      <c r="V9" s="261"/>
      <c r="W9" s="261"/>
      <c r="X9" s="261"/>
      <c r="Y9" s="261"/>
      <c r="Z9" s="976"/>
      <c r="AA9" s="950"/>
      <c r="AB9" s="266"/>
      <c r="AC9" s="266"/>
      <c r="AD9" s="950" t="s">
        <v>183</v>
      </c>
      <c r="AE9" s="951"/>
      <c r="AF9" s="951"/>
      <c r="AG9" s="951"/>
      <c r="AH9" s="44"/>
      <c r="AI9" s="44"/>
      <c r="AJ9" s="44"/>
      <c r="AK9" s="44"/>
      <c r="AL9" s="44"/>
      <c r="AM9" s="44"/>
      <c r="AN9" s="44"/>
    </row>
    <row r="10" spans="1:40">
      <c r="A10" s="276" t="s">
        <v>14</v>
      </c>
      <c r="B10" s="277"/>
      <c r="C10" s="278" t="s">
        <v>177</v>
      </c>
      <c r="D10" s="1139" t="s">
        <v>13</v>
      </c>
      <c r="E10" s="1140"/>
      <c r="F10" s="279" t="s">
        <v>50</v>
      </c>
      <c r="G10" s="279" t="s">
        <v>127</v>
      </c>
      <c r="H10" s="280" t="s">
        <v>49</v>
      </c>
      <c r="I10" s="281" t="s">
        <v>198</v>
      </c>
      <c r="J10" s="281" t="s">
        <v>199</v>
      </c>
      <c r="K10" s="281" t="s">
        <v>11</v>
      </c>
      <c r="L10" s="281" t="s">
        <v>12</v>
      </c>
      <c r="M10" s="281" t="s">
        <v>2</v>
      </c>
      <c r="N10" s="279" t="s">
        <v>177</v>
      </c>
      <c r="O10" s="279" t="s">
        <v>178</v>
      </c>
      <c r="P10" s="279" t="s">
        <v>180</v>
      </c>
      <c r="Q10" s="261"/>
      <c r="R10" s="261"/>
      <c r="S10" s="261"/>
      <c r="T10" s="261"/>
      <c r="U10" s="261"/>
      <c r="V10" s="261"/>
      <c r="W10" s="261"/>
      <c r="X10" s="261"/>
      <c r="Y10" s="261"/>
      <c r="Z10" s="976"/>
      <c r="AA10" s="950"/>
      <c r="AB10" s="266"/>
      <c r="AC10" s="266"/>
      <c r="AD10" s="266"/>
      <c r="AE10" s="44"/>
      <c r="AF10" s="44"/>
      <c r="AG10" s="44"/>
      <c r="AH10" s="44"/>
      <c r="AI10" s="44"/>
      <c r="AJ10" s="44"/>
      <c r="AK10" s="44"/>
      <c r="AL10" s="44"/>
      <c r="AM10" s="44"/>
      <c r="AN10" s="44"/>
    </row>
    <row r="11" spans="1:40">
      <c r="A11" s="282"/>
      <c r="B11" s="282"/>
      <c r="C11" s="283"/>
      <c r="D11" s="995" t="s">
        <v>546</v>
      </c>
      <c r="E11" s="284"/>
      <c r="F11" s="285" t="s">
        <v>35</v>
      </c>
      <c r="G11" s="286" t="s">
        <v>128</v>
      </c>
      <c r="H11" s="287" t="s">
        <v>28</v>
      </c>
      <c r="I11" s="288" t="s">
        <v>28</v>
      </c>
      <c r="J11" s="288" t="s">
        <v>28</v>
      </c>
      <c r="K11" s="288" t="s">
        <v>200</v>
      </c>
      <c r="L11" s="288" t="s">
        <v>15</v>
      </c>
      <c r="M11" s="288" t="s">
        <v>36</v>
      </c>
      <c r="N11" s="285" t="s">
        <v>201</v>
      </c>
      <c r="O11" s="285" t="s">
        <v>179</v>
      </c>
      <c r="P11" s="285" t="s">
        <v>181</v>
      </c>
      <c r="Q11" s="261"/>
      <c r="R11" s="261"/>
      <c r="S11" s="261"/>
      <c r="T11" s="261"/>
      <c r="U11" s="261"/>
      <c r="V11" s="261"/>
      <c r="W11" s="261"/>
      <c r="X11" s="261"/>
      <c r="Y11" s="261"/>
      <c r="Z11" s="976"/>
      <c r="AA11" s="950"/>
      <c r="AB11" s="266"/>
      <c r="AC11" s="266"/>
      <c r="AD11" s="266"/>
      <c r="AE11" s="44"/>
      <c r="AF11" s="44"/>
      <c r="AG11" s="44"/>
      <c r="AH11" s="44"/>
      <c r="AI11" s="44"/>
      <c r="AJ11" s="44"/>
      <c r="AK11" s="44"/>
      <c r="AL11" s="44"/>
      <c r="AM11" s="44"/>
      <c r="AN11" s="44"/>
    </row>
    <row r="12" spans="1:40" ht="12.75" customHeight="1">
      <c r="A12" s="282"/>
      <c r="B12" s="289" t="s">
        <v>366</v>
      </c>
      <c r="C12" s="283"/>
      <c r="D12" s="288" t="s">
        <v>202</v>
      </c>
      <c r="E12" s="288" t="s">
        <v>203</v>
      </c>
      <c r="F12" s="290" t="s">
        <v>101</v>
      </c>
      <c r="G12" s="286" t="s">
        <v>129</v>
      </c>
      <c r="H12" s="287" t="s">
        <v>101</v>
      </c>
      <c r="I12" s="288" t="s">
        <v>204</v>
      </c>
      <c r="J12" s="288" t="s">
        <v>188</v>
      </c>
      <c r="K12" s="288" t="s">
        <v>71</v>
      </c>
      <c r="L12" s="288" t="s">
        <v>101</v>
      </c>
      <c r="M12" s="288" t="s">
        <v>101</v>
      </c>
      <c r="N12" s="285" t="s">
        <v>205</v>
      </c>
      <c r="O12" s="285" t="s">
        <v>71</v>
      </c>
      <c r="P12" s="285"/>
      <c r="Q12" s="261"/>
      <c r="R12" s="261"/>
      <c r="S12" s="261"/>
      <c r="T12" s="261"/>
      <c r="U12" s="261"/>
      <c r="V12" s="261"/>
      <c r="W12" s="261"/>
      <c r="X12" s="261"/>
      <c r="Y12" s="261"/>
      <c r="Z12" s="976"/>
      <c r="AA12" s="950"/>
      <c r="AB12" s="266"/>
      <c r="AC12" s="266"/>
      <c r="AD12" s="266"/>
      <c r="AE12" s="44"/>
      <c r="AF12" s="44"/>
      <c r="AG12" s="44"/>
      <c r="AH12" s="44"/>
      <c r="AI12" s="44"/>
      <c r="AJ12" s="44"/>
      <c r="AK12" s="44"/>
      <c r="AL12" s="44"/>
      <c r="AM12" s="44"/>
      <c r="AN12" s="44"/>
    </row>
    <row r="13" spans="1:40" ht="12.75" customHeight="1">
      <c r="A13" s="282"/>
      <c r="B13" s="282"/>
      <c r="C13" s="283"/>
      <c r="D13" s="288" t="s">
        <v>206</v>
      </c>
      <c r="E13" s="291" t="s">
        <v>206</v>
      </c>
      <c r="F13" s="290"/>
      <c r="G13" s="286"/>
      <c r="H13" s="287"/>
      <c r="I13" s="288" t="s">
        <v>101</v>
      </c>
      <c r="J13" s="288" t="s">
        <v>101</v>
      </c>
      <c r="K13" s="288"/>
      <c r="L13" s="288"/>
      <c r="M13" s="288"/>
      <c r="N13" s="285"/>
      <c r="O13" s="285"/>
      <c r="P13" s="285"/>
      <c r="Q13" s="261"/>
      <c r="R13" s="261"/>
      <c r="S13" s="261"/>
      <c r="T13" s="261"/>
      <c r="U13" s="261"/>
      <c r="V13" s="261"/>
      <c r="W13" s="261"/>
      <c r="X13" s="261"/>
      <c r="Y13" s="261"/>
      <c r="Z13" s="976"/>
      <c r="AA13" s="950"/>
      <c r="AB13" s="266"/>
      <c r="AC13" s="266"/>
      <c r="AD13" s="266"/>
      <c r="AE13" s="44"/>
      <c r="AF13" s="44"/>
      <c r="AG13" s="44"/>
      <c r="AH13" s="44"/>
      <c r="AI13" s="44"/>
      <c r="AJ13" s="44"/>
      <c r="AK13" s="44"/>
      <c r="AL13" s="44"/>
      <c r="AM13" s="44"/>
      <c r="AN13" s="44"/>
    </row>
    <row r="14" spans="1:40" ht="12.75" customHeight="1">
      <c r="A14" s="292"/>
      <c r="B14" s="292"/>
      <c r="C14" s="293"/>
      <c r="D14" s="294"/>
      <c r="E14" s="295"/>
      <c r="F14" s="296"/>
      <c r="G14" s="296"/>
      <c r="H14" s="297"/>
      <c r="I14" s="294"/>
      <c r="J14" s="294"/>
      <c r="K14" s="294"/>
      <c r="L14" s="294"/>
      <c r="M14" s="294"/>
      <c r="N14" s="298"/>
      <c r="O14" s="298"/>
      <c r="P14" s="298"/>
      <c r="Q14" s="261"/>
      <c r="R14" s="261"/>
      <c r="S14" s="261"/>
      <c r="T14" s="261"/>
      <c r="U14" s="261"/>
      <c r="V14" s="261"/>
      <c r="W14" s="261"/>
      <c r="X14" s="261"/>
      <c r="Y14" s="261"/>
      <c r="Z14" s="976"/>
      <c r="AA14" s="950"/>
      <c r="AB14" s="266"/>
      <c r="AC14" s="266"/>
      <c r="AD14" s="266"/>
      <c r="AE14" s="44"/>
      <c r="AF14" s="44"/>
      <c r="AG14" s="44"/>
      <c r="AH14" s="44"/>
      <c r="AI14" s="44"/>
      <c r="AJ14" s="44"/>
      <c r="AK14" s="44"/>
      <c r="AL14" s="44"/>
      <c r="AM14" s="44"/>
      <c r="AN14" s="44"/>
    </row>
    <row r="15" spans="1:40" ht="20.100000000000001" customHeight="1">
      <c r="A15" s="282">
        <v>1</v>
      </c>
      <c r="B15" s="859"/>
      <c r="C15" s="860"/>
      <c r="D15" s="991"/>
      <c r="E15" s="991"/>
      <c r="F15" s="800"/>
      <c r="G15" s="803"/>
      <c r="H15" s="802"/>
      <c r="I15" s="299">
        <f t="shared" ref="I15:I20" si="0">IF(C15=0,0,IF(C15&gt;=1,IF(AND(OR(F15&gt;=1,G15&gt;=1), H15&gt;1),"Lohn/Gehalt ???",C15*IF(F15="",H15,F15*G15*4.33))))</f>
        <v>0</v>
      </c>
      <c r="J15" s="300">
        <f t="shared" ref="J15:J22" si="1">IF(C15=0,0,(IF(I15/C15&lt;539,I15*J$7,I15*J$6)))</f>
        <v>0</v>
      </c>
      <c r="K15" s="862"/>
      <c r="L15" s="804"/>
      <c r="M15" s="301">
        <f>IF(AND(Hilfstabelle!Q69="",Hilfstabelle!R69=""),J15*12+K15*J15+L15*IF(I15&lt;451,J$7,J$6),IF(OR(Hilfstabelle!Q69="",Hilfstabelle!R69="",Hilfstabelle!Q69=0,Hilfstabelle!R69=0,Hilfstabelle!Q69&gt;Hilfstabelle!R69),0,J15*(Hilfstabelle!R69-Hilfstabelle!Q69+1)+J15*K15+L15*IF(I15&lt;451,J$7,J$6)))</f>
        <v>0</v>
      </c>
      <c r="N15" s="302">
        <f>$C15*(IF(Hilfstabelle!$Q69="",1,IF(Hilfstabelle!$Q69="bis",Hilfstabelle!$R69/12,IF(Hilfstabelle!$Q69="ab",(12-Hilfstabelle!$R69+1)/12,((Hilfstabelle!R69+1)-Hilfstabelle!Q69)/12))))</f>
        <v>0</v>
      </c>
      <c r="O15" s="864"/>
      <c r="P15" s="303">
        <f t="shared" ref="P15:P36" si="2">N15*O15</f>
        <v>0</v>
      </c>
      <c r="Q15" s="262" t="str">
        <f>IF(AA15="ja","Bitte wählen Sie in den Spalten F - H zwischen Bruttolohn pro Stunde und Bruttogehalt pro Monat","")</f>
        <v/>
      </c>
      <c r="R15" s="262"/>
      <c r="S15" s="261"/>
      <c r="T15" s="261"/>
      <c r="U15" s="261"/>
      <c r="V15" s="781"/>
      <c r="W15" s="261"/>
      <c r="X15" s="781" t="str">
        <f>IF(ISERROR(M15),"",IF(AND($C15&gt;0,$J15&gt;0,$J15&lt;=$C15*$J$7*450,$M15&gt;$C15*7085),"Überprüfe ggf. Minijob(s)",""))</f>
        <v/>
      </c>
      <c r="Y15" s="261"/>
      <c r="Z15" s="979" t="str">
        <f>IF(AND(Hilfstabelle!$Q69="",Hilfstabelle!$R69=""),"",IF(OR(Hilfstabelle!$Q69="",Hilfstabelle!$R69="",Hilfstabelle!$Q69=0,Hilfstabelle!$R69=0,Hilfstabelle!$Q69&gt;Hilfstabelle!$R69),"ja",""))</f>
        <v/>
      </c>
      <c r="AA15" s="780" t="str">
        <f t="shared" ref="AA15:AA38" si="3">IF(OR(AND(F15&gt;0,G15&gt;0,H15&gt;0),AND(F15&gt;0,H15&gt;0),AND(G15&gt;0,H15&gt;0)),"ja","")</f>
        <v/>
      </c>
      <c r="AB15" s="266"/>
      <c r="AC15" s="266"/>
      <c r="AD15" s="266"/>
      <c r="AE15" s="44"/>
      <c r="AF15" s="44"/>
      <c r="AG15" s="44"/>
      <c r="AH15" s="44"/>
      <c r="AI15" s="44"/>
      <c r="AJ15" s="44"/>
      <c r="AK15" s="44"/>
      <c r="AL15" s="44"/>
      <c r="AM15" s="44"/>
      <c r="AN15" s="44"/>
    </row>
    <row r="16" spans="1:40" ht="20.100000000000001" customHeight="1">
      <c r="A16" s="282">
        <v>2</v>
      </c>
      <c r="B16" s="859"/>
      <c r="C16" s="860"/>
      <c r="D16" s="991"/>
      <c r="E16" s="991"/>
      <c r="F16" s="800"/>
      <c r="G16" s="803"/>
      <c r="H16" s="802"/>
      <c r="I16" s="306">
        <f t="shared" si="0"/>
        <v>0</v>
      </c>
      <c r="J16" s="300">
        <f t="shared" si="1"/>
        <v>0</v>
      </c>
      <c r="K16" s="862"/>
      <c r="L16" s="804"/>
      <c r="M16" s="301">
        <f>IF(AND(Hilfstabelle!Q70="",Hilfstabelle!R70=""),J16*12+K16*J16+L16*IF(I16&lt;451,J$7,J$6),IF(OR(Hilfstabelle!Q70="",Hilfstabelle!R70="",Hilfstabelle!Q70=0,Hilfstabelle!R70=0,Hilfstabelle!Q70&gt;Hilfstabelle!R70),0,J16*(Hilfstabelle!R70-Hilfstabelle!Q70+1)+J16*K16+L16*IF(I16&lt;451,J$7,J$6)))</f>
        <v>0</v>
      </c>
      <c r="N16" s="302">
        <f>$C16*(IF(Hilfstabelle!$Q70="",1,IF(Hilfstabelle!$Q70="bis",Hilfstabelle!$R70/12,IF(Hilfstabelle!$Q70="ab",(12-Hilfstabelle!$R70+1)/12,((Hilfstabelle!R70+1)-Hilfstabelle!Q70)/12))))</f>
        <v>0</v>
      </c>
      <c r="O16" s="864"/>
      <c r="P16" s="303">
        <f t="shared" si="2"/>
        <v>0</v>
      </c>
      <c r="Q16" s="262" t="str">
        <f t="shared" ref="Q16:Q38" si="4">IF(AA16="ja","Bitte wählen Sie in den Spalten F - H zwischen Bruttolohn pro Stunde und Bruttogehalt pro Monat","")</f>
        <v/>
      </c>
      <c r="R16" s="262"/>
      <c r="S16" s="261"/>
      <c r="T16" s="261"/>
      <c r="U16" s="261"/>
      <c r="V16" s="781"/>
      <c r="W16" s="261"/>
      <c r="X16" s="781" t="str">
        <f t="shared" ref="X16:X38" si="5">IF(ISERROR(M16),"",IF(AND($C16&gt;0,$J16&gt;0,$J16&lt;=$C16*$J$7*450,$M16&gt;$C16*7085),"Überprüfe ggf. Minijob(s)",""))</f>
        <v/>
      </c>
      <c r="Y16" s="261"/>
      <c r="Z16" s="979" t="str">
        <f>IF(AND(Hilfstabelle!$Q70="",Hilfstabelle!$R70=""),"",IF(OR(Hilfstabelle!$Q70="",Hilfstabelle!$R70="",Hilfstabelle!$Q70=0,Hilfstabelle!$R70=0,Hilfstabelle!$Q70&gt;Hilfstabelle!$R70),"ja",""))</f>
        <v/>
      </c>
      <c r="AA16" s="780" t="str">
        <f t="shared" si="3"/>
        <v/>
      </c>
      <c r="AB16" s="266"/>
      <c r="AC16" s="266"/>
      <c r="AD16" s="266"/>
      <c r="AE16" s="44"/>
      <c r="AF16" s="44"/>
      <c r="AG16" s="44"/>
      <c r="AH16" s="44"/>
      <c r="AI16" s="44"/>
      <c r="AJ16" s="44"/>
      <c r="AK16" s="44"/>
      <c r="AL16" s="44"/>
      <c r="AM16" s="44"/>
      <c r="AN16" s="44"/>
    </row>
    <row r="17" spans="1:40" ht="20.100000000000001" customHeight="1">
      <c r="A17" s="282">
        <v>3</v>
      </c>
      <c r="B17" s="859"/>
      <c r="C17" s="860"/>
      <c r="D17" s="991"/>
      <c r="E17" s="991"/>
      <c r="F17" s="803"/>
      <c r="G17" s="802"/>
      <c r="H17" s="802"/>
      <c r="I17" s="306">
        <f t="shared" si="0"/>
        <v>0</v>
      </c>
      <c r="J17" s="300">
        <f t="shared" si="1"/>
        <v>0</v>
      </c>
      <c r="K17" s="862"/>
      <c r="L17" s="804"/>
      <c r="M17" s="301">
        <f>IF(AND(Hilfstabelle!Q71="",Hilfstabelle!R71=""),J17*12+K17*J17+L17*IF(I17&lt;451,J$7,J$6),IF(OR(Hilfstabelle!Q71="",Hilfstabelle!R71="",Hilfstabelle!Q71=0,Hilfstabelle!R71=0,Hilfstabelle!Q71&gt;Hilfstabelle!R71),0,J17*(Hilfstabelle!R71-Hilfstabelle!Q71+1)+J17*K17+L17*IF(I17&lt;451,J$7,J$6)))</f>
        <v>0</v>
      </c>
      <c r="N17" s="302">
        <f>$C17*(IF(Hilfstabelle!$Q71="",1,IF(Hilfstabelle!$Q71="bis",Hilfstabelle!$R71/12,IF(Hilfstabelle!$Q71="ab",(12-Hilfstabelle!$R71+1)/12,((Hilfstabelle!R71+1)-Hilfstabelle!Q71)/12))))</f>
        <v>0</v>
      </c>
      <c r="O17" s="864"/>
      <c r="P17" s="303">
        <f t="shared" si="2"/>
        <v>0</v>
      </c>
      <c r="Q17" s="262" t="str">
        <f t="shared" si="4"/>
        <v/>
      </c>
      <c r="R17" s="262"/>
      <c r="S17" s="261"/>
      <c r="T17" s="261"/>
      <c r="U17" s="261"/>
      <c r="V17" s="781"/>
      <c r="W17" s="261"/>
      <c r="X17" s="781" t="str">
        <f t="shared" si="5"/>
        <v/>
      </c>
      <c r="Y17" s="261"/>
      <c r="Z17" s="979" t="str">
        <f>IF(AND(Hilfstabelle!$Q71="",Hilfstabelle!$R71=""),"",IF(OR(Hilfstabelle!$Q71="",Hilfstabelle!$R71="",Hilfstabelle!$Q71=0,Hilfstabelle!$R71=0,Hilfstabelle!$Q71&gt;Hilfstabelle!$R71),"ja",""))</f>
        <v/>
      </c>
      <c r="AA17" s="780" t="str">
        <f t="shared" si="3"/>
        <v/>
      </c>
      <c r="AB17" s="266"/>
      <c r="AC17" s="266"/>
      <c r="AD17" s="266"/>
      <c r="AE17" s="44"/>
      <c r="AF17" s="44"/>
      <c r="AG17" s="44"/>
      <c r="AH17" s="44"/>
      <c r="AI17" s="44"/>
      <c r="AJ17" s="44"/>
      <c r="AK17" s="44"/>
      <c r="AL17" s="44"/>
      <c r="AM17" s="44"/>
      <c r="AN17" s="44"/>
    </row>
    <row r="18" spans="1:40" ht="20.100000000000001" customHeight="1">
      <c r="A18" s="282">
        <v>4</v>
      </c>
      <c r="B18" s="861"/>
      <c r="C18" s="860"/>
      <c r="D18" s="991"/>
      <c r="E18" s="991"/>
      <c r="F18" s="803"/>
      <c r="G18" s="802"/>
      <c r="H18" s="802"/>
      <c r="I18" s="306">
        <f t="shared" si="0"/>
        <v>0</v>
      </c>
      <c r="J18" s="300">
        <f t="shared" si="1"/>
        <v>0</v>
      </c>
      <c r="K18" s="862"/>
      <c r="L18" s="804"/>
      <c r="M18" s="301">
        <f>IF(AND(Hilfstabelle!Q72="",Hilfstabelle!R72=""),J18*12+K18*J18+L18*IF(I18&lt;451,J$7,J$6),IF(OR(Hilfstabelle!Q72="",Hilfstabelle!R72="",Hilfstabelle!Q72=0,Hilfstabelle!R72=0,Hilfstabelle!Q72&gt;Hilfstabelle!R72),0,J18*(Hilfstabelle!R72-Hilfstabelle!Q72+1)+J18*K18+L18*IF(I18&lt;451,J$7,J$6)))</f>
        <v>0</v>
      </c>
      <c r="N18" s="302">
        <f>$C18*(IF(Hilfstabelle!$Q72="",1,IF(Hilfstabelle!$Q72="bis",Hilfstabelle!$R72/12,IF(Hilfstabelle!$Q72="ab",(12-Hilfstabelle!$R72+1)/12,((Hilfstabelle!R72+1)-Hilfstabelle!Q72)/12))))</f>
        <v>0</v>
      </c>
      <c r="O18" s="864"/>
      <c r="P18" s="303">
        <f t="shared" si="2"/>
        <v>0</v>
      </c>
      <c r="Q18" s="262" t="str">
        <f t="shared" si="4"/>
        <v/>
      </c>
      <c r="R18" s="262"/>
      <c r="S18" s="261"/>
      <c r="T18" s="261"/>
      <c r="U18" s="261"/>
      <c r="V18" s="781"/>
      <c r="W18" s="261"/>
      <c r="X18" s="781" t="str">
        <f t="shared" si="5"/>
        <v/>
      </c>
      <c r="Y18" s="261"/>
      <c r="Z18" s="979" t="str">
        <f>IF(AND(Hilfstabelle!$Q72="",Hilfstabelle!$R72=""),"",IF(OR(Hilfstabelle!$Q72="",Hilfstabelle!$R72="",Hilfstabelle!$Q72=0,Hilfstabelle!$R72=0,Hilfstabelle!$Q72&gt;Hilfstabelle!$R72),"ja",""))</f>
        <v/>
      </c>
      <c r="AA18" s="780" t="str">
        <f t="shared" si="3"/>
        <v/>
      </c>
      <c r="AB18" s="266"/>
      <c r="AC18" s="266"/>
      <c r="AD18" s="266"/>
      <c r="AE18" s="44"/>
      <c r="AF18" s="44"/>
      <c r="AG18" s="44"/>
      <c r="AH18" s="44"/>
      <c r="AI18" s="44"/>
      <c r="AJ18" s="44"/>
      <c r="AK18" s="44"/>
      <c r="AL18" s="44"/>
      <c r="AM18" s="44"/>
      <c r="AN18" s="44"/>
    </row>
    <row r="19" spans="1:40" ht="20.100000000000001" customHeight="1">
      <c r="A19" s="282">
        <v>5</v>
      </c>
      <c r="B19" s="861"/>
      <c r="C19" s="860"/>
      <c r="D19" s="991"/>
      <c r="E19" s="991"/>
      <c r="F19" s="803"/>
      <c r="G19" s="802"/>
      <c r="H19" s="802"/>
      <c r="I19" s="306">
        <f t="shared" si="0"/>
        <v>0</v>
      </c>
      <c r="J19" s="300">
        <f t="shared" si="1"/>
        <v>0</v>
      </c>
      <c r="K19" s="862"/>
      <c r="L19" s="804"/>
      <c r="M19" s="301">
        <f>IF(AND(Hilfstabelle!Q73="",Hilfstabelle!R73=""),J19*12+K19*J19+L19*IF(I19&lt;451,J$7,J$6),IF(OR(Hilfstabelle!Q73="",Hilfstabelle!R73="",Hilfstabelle!Q73=0,Hilfstabelle!R73=0,Hilfstabelle!Q73&gt;Hilfstabelle!R73),0,J19*(Hilfstabelle!R73-Hilfstabelle!Q73+1)+J19*K19+L19*IF(I19&lt;451,J$7,J$6)))</f>
        <v>0</v>
      </c>
      <c r="N19" s="302">
        <f>$C19*(IF(Hilfstabelle!$Q73="",1,IF(Hilfstabelle!$Q73="bis",Hilfstabelle!$R73/12,IF(Hilfstabelle!$Q73="ab",(12-Hilfstabelle!$R73+1)/12,((Hilfstabelle!R73+1)-Hilfstabelle!Q73)/12))))</f>
        <v>0</v>
      </c>
      <c r="O19" s="864"/>
      <c r="P19" s="303">
        <f t="shared" si="2"/>
        <v>0</v>
      </c>
      <c r="Q19" s="262" t="str">
        <f t="shared" si="4"/>
        <v/>
      </c>
      <c r="R19" s="262"/>
      <c r="S19" s="261"/>
      <c r="T19" s="261"/>
      <c r="U19" s="261"/>
      <c r="V19" s="781"/>
      <c r="W19" s="261"/>
      <c r="X19" s="781" t="str">
        <f t="shared" si="5"/>
        <v/>
      </c>
      <c r="Y19" s="261"/>
      <c r="Z19" s="979" t="str">
        <f>IF(AND(Hilfstabelle!$Q73="",Hilfstabelle!$R73=""),"",IF(OR(Hilfstabelle!$Q73="",Hilfstabelle!$R73="",Hilfstabelle!$Q73=0,Hilfstabelle!$R73=0,Hilfstabelle!$Q73&gt;Hilfstabelle!$R73),"ja",""))</f>
        <v/>
      </c>
      <c r="AA19" s="780" t="str">
        <f t="shared" si="3"/>
        <v/>
      </c>
      <c r="AB19" s="266"/>
      <c r="AC19" s="266"/>
      <c r="AD19" s="266"/>
      <c r="AE19" s="44"/>
      <c r="AF19" s="44"/>
      <c r="AG19" s="44"/>
      <c r="AH19" s="44"/>
      <c r="AI19" s="44"/>
      <c r="AJ19" s="44"/>
      <c r="AK19" s="44"/>
      <c r="AL19" s="44"/>
      <c r="AM19" s="44"/>
      <c r="AN19" s="44"/>
    </row>
    <row r="20" spans="1:40" ht="20.100000000000001" customHeight="1">
      <c r="A20" s="282">
        <v>6</v>
      </c>
      <c r="B20" s="861"/>
      <c r="C20" s="860"/>
      <c r="D20" s="991"/>
      <c r="E20" s="991"/>
      <c r="F20" s="803"/>
      <c r="G20" s="802"/>
      <c r="H20" s="802"/>
      <c r="I20" s="306">
        <f t="shared" si="0"/>
        <v>0</v>
      </c>
      <c r="J20" s="300">
        <f t="shared" si="1"/>
        <v>0</v>
      </c>
      <c r="K20" s="862"/>
      <c r="L20" s="804"/>
      <c r="M20" s="301">
        <f>IF(AND(Hilfstabelle!Q74="",Hilfstabelle!R74=""),J20*12+K20*J20+L20*IF(I20&lt;451,J$7,J$6),IF(OR(Hilfstabelle!Q74="",Hilfstabelle!R74="",Hilfstabelle!Q74=0,Hilfstabelle!R74=0,Hilfstabelle!Q74&gt;Hilfstabelle!R74),0,J20*(Hilfstabelle!R74-Hilfstabelle!Q74+1)+J20*K20+L20*IF(I20&lt;451,J$7,J$6)))</f>
        <v>0</v>
      </c>
      <c r="N20" s="302">
        <f>$C20*(IF(Hilfstabelle!$Q74="",1,IF(Hilfstabelle!$Q74="bis",Hilfstabelle!$R74/12,IF(Hilfstabelle!$Q74="ab",(12-Hilfstabelle!$R74+1)/12,((Hilfstabelle!R74+1)-Hilfstabelle!Q74)/12))))</f>
        <v>0</v>
      </c>
      <c r="O20" s="864"/>
      <c r="P20" s="303">
        <f t="shared" si="2"/>
        <v>0</v>
      </c>
      <c r="Q20" s="262" t="str">
        <f t="shared" si="4"/>
        <v/>
      </c>
      <c r="R20" s="262"/>
      <c r="S20" s="261"/>
      <c r="T20" s="261"/>
      <c r="U20" s="261"/>
      <c r="V20" s="781"/>
      <c r="W20" s="261"/>
      <c r="X20" s="781" t="str">
        <f t="shared" si="5"/>
        <v/>
      </c>
      <c r="Y20" s="261"/>
      <c r="Z20" s="979" t="str">
        <f>IF(AND(Hilfstabelle!$Q74="",Hilfstabelle!$R74=""),"",IF(OR(Hilfstabelle!$Q74="",Hilfstabelle!$R74="",Hilfstabelle!$Q74=0,Hilfstabelle!$R74=0,Hilfstabelle!$Q74&gt;Hilfstabelle!$R74),"ja",""))</f>
        <v/>
      </c>
      <c r="AA20" s="780" t="str">
        <f t="shared" si="3"/>
        <v/>
      </c>
      <c r="AB20" s="266"/>
      <c r="AC20" s="266"/>
      <c r="AD20" s="266"/>
      <c r="AE20" s="44"/>
      <c r="AF20" s="44"/>
      <c r="AG20" s="44"/>
      <c r="AH20" s="44"/>
      <c r="AI20" s="44"/>
      <c r="AJ20" s="44"/>
      <c r="AK20" s="44"/>
      <c r="AL20" s="44"/>
      <c r="AM20" s="44"/>
      <c r="AN20" s="44"/>
    </row>
    <row r="21" spans="1:40" ht="20.100000000000001" customHeight="1">
      <c r="A21" s="282">
        <v>7</v>
      </c>
      <c r="B21" s="861"/>
      <c r="C21" s="860"/>
      <c r="D21" s="991"/>
      <c r="E21" s="991"/>
      <c r="F21" s="803"/>
      <c r="G21" s="802"/>
      <c r="H21" s="802"/>
      <c r="I21" s="306">
        <f t="shared" ref="I21:I32" si="6">IF(C21=0,0,IF(C21&gt;=1,IF(AND(OR(F21&gt;=1,G21&gt;=1), H21&gt;1),"Lohn/Gehalt ???",C21*IF(F21="",H21,F21*G21*4.33))))</f>
        <v>0</v>
      </c>
      <c r="J21" s="300">
        <f t="shared" si="1"/>
        <v>0</v>
      </c>
      <c r="K21" s="862"/>
      <c r="L21" s="804"/>
      <c r="M21" s="301">
        <f>IF(AND(Hilfstabelle!Q75="",Hilfstabelle!R75=""),J21*12+K21*J21+L21*IF(I21&lt;451,J$7,J$6),IF(OR(Hilfstabelle!Q75="",Hilfstabelle!R75="",Hilfstabelle!Q75=0,Hilfstabelle!R75=0,Hilfstabelle!Q75&gt;Hilfstabelle!R75),0,J21*(Hilfstabelle!R75-Hilfstabelle!Q75+1)+J21*K21+L21*IF(I21&lt;451,J$7,J$6)))</f>
        <v>0</v>
      </c>
      <c r="N21" s="302">
        <f>$C21*(IF(Hilfstabelle!$Q75="",1,IF(Hilfstabelle!$Q75="bis",Hilfstabelle!$R75/12,IF(Hilfstabelle!$Q75="ab",(12-Hilfstabelle!$R75+1)/12,((Hilfstabelle!R75+1)-Hilfstabelle!Q75)/12))))</f>
        <v>0</v>
      </c>
      <c r="O21" s="864"/>
      <c r="P21" s="303">
        <f t="shared" si="2"/>
        <v>0</v>
      </c>
      <c r="Q21" s="262" t="str">
        <f t="shared" si="4"/>
        <v/>
      </c>
      <c r="R21" s="262"/>
      <c r="S21" s="261"/>
      <c r="T21" s="261"/>
      <c r="U21" s="261"/>
      <c r="V21" s="781"/>
      <c r="W21" s="261"/>
      <c r="X21" s="781" t="str">
        <f t="shared" si="5"/>
        <v/>
      </c>
      <c r="Y21" s="261"/>
      <c r="Z21" s="979" t="str">
        <f>IF(AND(Hilfstabelle!$Q75="",Hilfstabelle!$R75=""),"",IF(OR(Hilfstabelle!$Q75="",Hilfstabelle!$R75="",Hilfstabelle!$Q75=0,Hilfstabelle!$R75=0,Hilfstabelle!$Q75&gt;Hilfstabelle!$R75),"ja",""))</f>
        <v/>
      </c>
      <c r="AA21" s="780" t="str">
        <f t="shared" si="3"/>
        <v/>
      </c>
      <c r="AB21" s="266"/>
      <c r="AC21" s="266"/>
      <c r="AD21" s="266"/>
      <c r="AE21" s="44"/>
      <c r="AF21" s="44"/>
      <c r="AG21" s="44"/>
      <c r="AH21" s="44"/>
      <c r="AI21" s="44"/>
      <c r="AJ21" s="44"/>
      <c r="AK21" s="44"/>
      <c r="AL21" s="44"/>
      <c r="AM21" s="44"/>
      <c r="AN21" s="44"/>
    </row>
    <row r="22" spans="1:40" ht="20.100000000000001" customHeight="1">
      <c r="A22" s="282">
        <v>8</v>
      </c>
      <c r="B22" s="861"/>
      <c r="C22" s="860"/>
      <c r="D22" s="991"/>
      <c r="E22" s="991"/>
      <c r="F22" s="803"/>
      <c r="G22" s="802"/>
      <c r="H22" s="802"/>
      <c r="I22" s="306">
        <f t="shared" si="6"/>
        <v>0</v>
      </c>
      <c r="J22" s="300">
        <f t="shared" si="1"/>
        <v>0</v>
      </c>
      <c r="K22" s="862"/>
      <c r="L22" s="804"/>
      <c r="M22" s="301">
        <f>IF(AND(Hilfstabelle!Q76="",Hilfstabelle!R76=""),J22*12+K22*J22+L22*IF(I22&lt;451,J$7,J$6),IF(OR(Hilfstabelle!Q76="",Hilfstabelle!R76="",Hilfstabelle!Q76=0,Hilfstabelle!R76=0,Hilfstabelle!Q76&gt;Hilfstabelle!R76),0,J22*(Hilfstabelle!R76-Hilfstabelle!Q76+1)+J22*K22+L22*IF(I22&lt;451,J$7,J$6)))</f>
        <v>0</v>
      </c>
      <c r="N22" s="302">
        <f>$C22*(IF(Hilfstabelle!$Q76="",1,IF(Hilfstabelle!$Q76="bis",Hilfstabelle!$R76/12,IF(Hilfstabelle!$Q76="ab",(12-Hilfstabelle!$R76+1)/12,((Hilfstabelle!R76+1)-Hilfstabelle!Q76)/12))))</f>
        <v>0</v>
      </c>
      <c r="O22" s="864"/>
      <c r="P22" s="303">
        <f t="shared" si="2"/>
        <v>0</v>
      </c>
      <c r="Q22" s="262" t="str">
        <f t="shared" si="4"/>
        <v/>
      </c>
      <c r="R22" s="262"/>
      <c r="S22" s="261"/>
      <c r="T22" s="261"/>
      <c r="U22" s="261"/>
      <c r="V22" s="781"/>
      <c r="W22" s="261"/>
      <c r="X22" s="781" t="str">
        <f t="shared" si="5"/>
        <v/>
      </c>
      <c r="Y22" s="261"/>
      <c r="Z22" s="979" t="str">
        <f>IF(AND(Hilfstabelle!$Q76="",Hilfstabelle!$R76=""),"",IF(OR(Hilfstabelle!$Q76="",Hilfstabelle!$R76="",Hilfstabelle!$Q76=0,Hilfstabelle!$R76=0,Hilfstabelle!$Q76&gt;Hilfstabelle!$R76),"ja",""))</f>
        <v/>
      </c>
      <c r="AA22" s="780" t="str">
        <f t="shared" si="3"/>
        <v/>
      </c>
      <c r="AB22" s="266"/>
      <c r="AC22" s="266"/>
      <c r="AD22" s="266"/>
      <c r="AE22" s="44"/>
      <c r="AF22" s="44"/>
      <c r="AG22" s="44"/>
      <c r="AH22" s="44"/>
      <c r="AI22" s="44"/>
      <c r="AJ22" s="44"/>
      <c r="AK22" s="44"/>
      <c r="AL22" s="44"/>
      <c r="AM22" s="44"/>
      <c r="AN22" s="44"/>
    </row>
    <row r="23" spans="1:40" ht="20.100000000000001" hidden="1" customHeight="1" outlineLevel="1">
      <c r="A23" s="282">
        <v>9</v>
      </c>
      <c r="B23" s="861"/>
      <c r="C23" s="860"/>
      <c r="D23" s="991"/>
      <c r="E23" s="991"/>
      <c r="F23" s="803"/>
      <c r="G23" s="802"/>
      <c r="H23" s="802"/>
      <c r="I23" s="306">
        <f t="shared" si="6"/>
        <v>0</v>
      </c>
      <c r="J23" s="300">
        <f t="shared" ref="J23:J34" si="7">IF(C23=0,0,(IF(I23/C23&lt;539,I23*J$7,I23*J$6)))</f>
        <v>0</v>
      </c>
      <c r="K23" s="862"/>
      <c r="L23" s="804"/>
      <c r="M23" s="301">
        <f>IF(AND(Hilfstabelle!Q77="",Hilfstabelle!R77=""),J23*12+K23*J23+L23*IF(I23&lt;451,J$7,J$6),IF(OR(Hilfstabelle!Q77="",Hilfstabelle!R77="",Hilfstabelle!Q77=0,Hilfstabelle!R77=0,Hilfstabelle!Q77&gt;Hilfstabelle!R77),0,J23*(Hilfstabelle!R77-Hilfstabelle!Q77+1)+J23*K23+L23*IF(I23&lt;451,J$7,J$6)))</f>
        <v>0</v>
      </c>
      <c r="N23" s="302">
        <f>$C23*(IF(Hilfstabelle!$Q77="",1,IF(Hilfstabelle!$Q77="bis",Hilfstabelle!$R77/12,IF(Hilfstabelle!$Q77="ab",(12-Hilfstabelle!$R77+1)/12,((Hilfstabelle!R77+1)-Hilfstabelle!Q77)/12))))</f>
        <v>0</v>
      </c>
      <c r="O23" s="864"/>
      <c r="P23" s="303">
        <f t="shared" si="2"/>
        <v>0</v>
      </c>
      <c r="Q23" s="262" t="str">
        <f t="shared" si="4"/>
        <v/>
      </c>
      <c r="R23" s="262"/>
      <c r="S23" s="261"/>
      <c r="T23" s="261"/>
      <c r="U23" s="261"/>
      <c r="V23" s="781"/>
      <c r="W23" s="261"/>
      <c r="X23" s="781" t="str">
        <f t="shared" si="5"/>
        <v/>
      </c>
      <c r="Y23" s="261"/>
      <c r="Z23" s="979" t="str">
        <f>IF(AND(Hilfstabelle!$Q77="",Hilfstabelle!$R77=""),"",IF(OR(Hilfstabelle!$Q77="",Hilfstabelle!$R77="",Hilfstabelle!$Q77=0,Hilfstabelle!$R77=0,Hilfstabelle!$Q77&gt;Hilfstabelle!$R77),"ja",""))</f>
        <v/>
      </c>
      <c r="AA23" s="780" t="str">
        <f t="shared" si="3"/>
        <v/>
      </c>
      <c r="AB23" s="266"/>
      <c r="AC23" s="266"/>
      <c r="AD23" s="266"/>
      <c r="AE23" s="44"/>
      <c r="AF23" s="44"/>
      <c r="AG23" s="44"/>
      <c r="AH23" s="44"/>
      <c r="AI23" s="44"/>
      <c r="AJ23" s="44"/>
      <c r="AK23" s="44"/>
      <c r="AL23" s="44"/>
      <c r="AM23" s="44"/>
      <c r="AN23" s="44"/>
    </row>
    <row r="24" spans="1:40" ht="20.100000000000001" hidden="1" customHeight="1" outlineLevel="1">
      <c r="A24" s="282">
        <v>10</v>
      </c>
      <c r="B24" s="861"/>
      <c r="C24" s="860"/>
      <c r="D24" s="991"/>
      <c r="E24" s="991"/>
      <c r="F24" s="803"/>
      <c r="G24" s="802"/>
      <c r="H24" s="802"/>
      <c r="I24" s="306">
        <f t="shared" si="6"/>
        <v>0</v>
      </c>
      <c r="J24" s="300">
        <f t="shared" si="7"/>
        <v>0</v>
      </c>
      <c r="K24" s="862"/>
      <c r="L24" s="804"/>
      <c r="M24" s="301">
        <f>IF(AND(Hilfstabelle!Q78="",Hilfstabelle!R78=""),J24*12+K24*J24+L24*IF(I24&lt;451,J$7,J$6),IF(OR(Hilfstabelle!Q78="",Hilfstabelle!R78="",Hilfstabelle!Q78=0,Hilfstabelle!R78=0,Hilfstabelle!Q78&gt;Hilfstabelle!R78),0,J24*(Hilfstabelle!R78-Hilfstabelle!Q78+1)+J24*K24+L24*IF(I24&lt;451,J$7,J$6)))</f>
        <v>0</v>
      </c>
      <c r="N24" s="302">
        <f>$C24*(IF(Hilfstabelle!$Q78="",1,IF(Hilfstabelle!$Q78="bis",Hilfstabelle!$R78/12,IF(Hilfstabelle!$Q78="ab",(12-Hilfstabelle!$R78+1)/12,((Hilfstabelle!R78+1)-Hilfstabelle!Q78)/12))))</f>
        <v>0</v>
      </c>
      <c r="O24" s="864"/>
      <c r="P24" s="303">
        <f t="shared" si="2"/>
        <v>0</v>
      </c>
      <c r="Q24" s="262" t="str">
        <f t="shared" si="4"/>
        <v/>
      </c>
      <c r="R24" s="262"/>
      <c r="S24" s="261"/>
      <c r="T24" s="261"/>
      <c r="U24" s="261"/>
      <c r="V24" s="781"/>
      <c r="W24" s="261"/>
      <c r="X24" s="781" t="str">
        <f t="shared" si="5"/>
        <v/>
      </c>
      <c r="Y24" s="261"/>
      <c r="Z24" s="979" t="str">
        <f>IF(AND(Hilfstabelle!$Q78="",Hilfstabelle!$R78=""),"",IF(OR(Hilfstabelle!$Q78="",Hilfstabelle!$R78="",Hilfstabelle!$Q78=0,Hilfstabelle!$R78=0,Hilfstabelle!$Q78&gt;Hilfstabelle!$R78),"ja",""))</f>
        <v/>
      </c>
      <c r="AA24" s="780" t="str">
        <f t="shared" si="3"/>
        <v/>
      </c>
      <c r="AB24" s="266"/>
      <c r="AC24" s="266"/>
      <c r="AD24" s="266"/>
      <c r="AE24" s="44"/>
      <c r="AF24" s="44"/>
      <c r="AG24" s="44"/>
      <c r="AH24" s="44"/>
      <c r="AI24" s="44"/>
      <c r="AJ24" s="44"/>
      <c r="AK24" s="44"/>
      <c r="AL24" s="44"/>
      <c r="AM24" s="44"/>
      <c r="AN24" s="44"/>
    </row>
    <row r="25" spans="1:40" ht="20.100000000000001" hidden="1" customHeight="1" outlineLevel="1">
      <c r="A25" s="282">
        <v>11</v>
      </c>
      <c r="B25" s="861"/>
      <c r="C25" s="860"/>
      <c r="D25" s="991"/>
      <c r="E25" s="991"/>
      <c r="F25" s="803"/>
      <c r="G25" s="802"/>
      <c r="H25" s="802"/>
      <c r="I25" s="306">
        <f t="shared" si="6"/>
        <v>0</v>
      </c>
      <c r="J25" s="300">
        <f t="shared" si="7"/>
        <v>0</v>
      </c>
      <c r="K25" s="862"/>
      <c r="L25" s="804"/>
      <c r="M25" s="301">
        <f>IF(AND(Hilfstabelle!Q79="",Hilfstabelle!R79=""),J25*12+K25*J25+L25*IF(I25&lt;451,J$7,J$6),IF(OR(Hilfstabelle!Q79="",Hilfstabelle!R79="",Hilfstabelle!Q79=0,Hilfstabelle!R79=0,Hilfstabelle!Q79&gt;Hilfstabelle!R79),0,J25*(Hilfstabelle!R79-Hilfstabelle!Q79+1)+J25*K25+L25*IF(I25&lt;451,J$7,J$6)))</f>
        <v>0</v>
      </c>
      <c r="N25" s="302">
        <f>$C25*(IF(Hilfstabelle!$Q79="",1,IF(Hilfstabelle!$Q79="bis",Hilfstabelle!$R79/12,IF(Hilfstabelle!$Q79="ab",(12-Hilfstabelle!$R79+1)/12,((Hilfstabelle!R79+1)-Hilfstabelle!Q79)/12))))</f>
        <v>0</v>
      </c>
      <c r="O25" s="864"/>
      <c r="P25" s="303">
        <f t="shared" si="2"/>
        <v>0</v>
      </c>
      <c r="Q25" s="262" t="str">
        <f t="shared" si="4"/>
        <v/>
      </c>
      <c r="R25" s="262"/>
      <c r="S25" s="261"/>
      <c r="T25" s="261"/>
      <c r="U25" s="261"/>
      <c r="V25" s="781"/>
      <c r="W25" s="261"/>
      <c r="X25" s="781" t="str">
        <f t="shared" si="5"/>
        <v/>
      </c>
      <c r="Y25" s="261"/>
      <c r="Z25" s="979" t="str">
        <f>IF(AND(Hilfstabelle!$Q79="",Hilfstabelle!$R79=""),"",IF(OR(Hilfstabelle!$Q79="",Hilfstabelle!$R79="",Hilfstabelle!$Q79=0,Hilfstabelle!$R79=0,Hilfstabelle!$Q79&gt;Hilfstabelle!$R79),"ja",""))</f>
        <v/>
      </c>
      <c r="AA25" s="780" t="str">
        <f t="shared" si="3"/>
        <v/>
      </c>
      <c r="AB25" s="266"/>
      <c r="AC25" s="266"/>
      <c r="AD25" s="266"/>
      <c r="AE25" s="44"/>
      <c r="AF25" s="44"/>
      <c r="AG25" s="44"/>
      <c r="AH25" s="44"/>
      <c r="AI25" s="44"/>
      <c r="AJ25" s="44"/>
      <c r="AK25" s="44"/>
      <c r="AL25" s="44"/>
      <c r="AM25" s="44"/>
      <c r="AN25" s="44"/>
    </row>
    <row r="26" spans="1:40" ht="20.100000000000001" hidden="1" customHeight="1" outlineLevel="1">
      <c r="A26" s="282">
        <v>12</v>
      </c>
      <c r="B26" s="861"/>
      <c r="C26" s="860"/>
      <c r="D26" s="991"/>
      <c r="E26" s="991"/>
      <c r="F26" s="803"/>
      <c r="G26" s="802"/>
      <c r="H26" s="802"/>
      <c r="I26" s="306">
        <f t="shared" si="6"/>
        <v>0</v>
      </c>
      <c r="J26" s="300">
        <f t="shared" si="7"/>
        <v>0</v>
      </c>
      <c r="K26" s="862"/>
      <c r="L26" s="804"/>
      <c r="M26" s="301">
        <f>IF(AND(Hilfstabelle!Q80="",Hilfstabelle!R80=""),J26*12+K26*J26+L26*IF(I26&lt;451,J$7,J$6),IF(OR(Hilfstabelle!Q80="",Hilfstabelle!R80="",Hilfstabelle!Q80=0,Hilfstabelle!R80=0,Hilfstabelle!Q80&gt;Hilfstabelle!R80),0,J26*(Hilfstabelle!R80-Hilfstabelle!Q80+1)+J26*K26+L26*IF(I26&lt;451,J$7,J$6)))</f>
        <v>0</v>
      </c>
      <c r="N26" s="302">
        <f>$C26*(IF(Hilfstabelle!$Q80="",1,IF(Hilfstabelle!$Q80="bis",Hilfstabelle!$R80/12,IF(Hilfstabelle!$Q80="ab",(12-Hilfstabelle!$R80+1)/12,((Hilfstabelle!R80+1)-Hilfstabelle!Q80)/12))))</f>
        <v>0</v>
      </c>
      <c r="O26" s="864"/>
      <c r="P26" s="303">
        <f t="shared" si="2"/>
        <v>0</v>
      </c>
      <c r="Q26" s="262" t="str">
        <f t="shared" si="4"/>
        <v/>
      </c>
      <c r="R26" s="262"/>
      <c r="S26" s="261"/>
      <c r="T26" s="261"/>
      <c r="U26" s="261"/>
      <c r="V26" s="781"/>
      <c r="W26" s="261"/>
      <c r="X26" s="781" t="str">
        <f t="shared" si="5"/>
        <v/>
      </c>
      <c r="Y26" s="261"/>
      <c r="Z26" s="979" t="str">
        <f>IF(AND(Hilfstabelle!$Q80="",Hilfstabelle!$R80=""),"",IF(OR(Hilfstabelle!$Q80="",Hilfstabelle!$R80="",Hilfstabelle!$Q80=0,Hilfstabelle!$R80=0,Hilfstabelle!$Q80&gt;Hilfstabelle!$R80),"ja",""))</f>
        <v/>
      </c>
      <c r="AA26" s="780" t="str">
        <f t="shared" si="3"/>
        <v/>
      </c>
      <c r="AB26" s="266"/>
      <c r="AC26" s="266"/>
      <c r="AD26" s="266"/>
      <c r="AE26" s="44"/>
      <c r="AF26" s="44"/>
      <c r="AG26" s="44"/>
      <c r="AH26" s="44"/>
      <c r="AI26" s="44"/>
      <c r="AJ26" s="44"/>
      <c r="AK26" s="44"/>
      <c r="AL26" s="44"/>
      <c r="AM26" s="44"/>
      <c r="AN26" s="44"/>
    </row>
    <row r="27" spans="1:40" ht="20.100000000000001" hidden="1" customHeight="1" outlineLevel="1">
      <c r="A27" s="282">
        <v>13</v>
      </c>
      <c r="B27" s="861"/>
      <c r="C27" s="860"/>
      <c r="D27" s="991"/>
      <c r="E27" s="991"/>
      <c r="F27" s="803"/>
      <c r="G27" s="802"/>
      <c r="H27" s="802"/>
      <c r="I27" s="306">
        <f t="shared" si="6"/>
        <v>0</v>
      </c>
      <c r="J27" s="300">
        <f t="shared" si="7"/>
        <v>0</v>
      </c>
      <c r="K27" s="862"/>
      <c r="L27" s="804"/>
      <c r="M27" s="301">
        <f>IF(AND(Hilfstabelle!Q81="",Hilfstabelle!R81=""),J27*12+K27*J27+L27*IF(I27&lt;451,J$7,J$6),IF(OR(Hilfstabelle!Q81="",Hilfstabelle!R81="",Hilfstabelle!Q81=0,Hilfstabelle!R81=0,Hilfstabelle!Q81&gt;Hilfstabelle!R81),0,J27*(Hilfstabelle!R81-Hilfstabelle!Q81+1)+J27*K27+L27*IF(I27&lt;451,J$7,J$6)))</f>
        <v>0</v>
      </c>
      <c r="N27" s="302">
        <f>$C27*(IF(Hilfstabelle!$Q81="",1,IF(Hilfstabelle!$Q81="bis",Hilfstabelle!$R81/12,IF(Hilfstabelle!$Q81="ab",(12-Hilfstabelle!$R81+1)/12,((Hilfstabelle!R81+1)-Hilfstabelle!Q81)/12))))</f>
        <v>0</v>
      </c>
      <c r="O27" s="864"/>
      <c r="P27" s="303">
        <f t="shared" si="2"/>
        <v>0</v>
      </c>
      <c r="Q27" s="262" t="str">
        <f t="shared" si="4"/>
        <v/>
      </c>
      <c r="R27" s="262"/>
      <c r="S27" s="261"/>
      <c r="T27" s="261"/>
      <c r="U27" s="261"/>
      <c r="V27" s="781"/>
      <c r="W27" s="261"/>
      <c r="X27" s="781" t="str">
        <f t="shared" si="5"/>
        <v/>
      </c>
      <c r="Y27" s="261"/>
      <c r="Z27" s="979" t="str">
        <f>IF(AND(Hilfstabelle!$Q81="",Hilfstabelle!$R81=""),"",IF(OR(Hilfstabelle!$Q81="",Hilfstabelle!$R81="",Hilfstabelle!$Q81=0,Hilfstabelle!$R81=0,Hilfstabelle!$Q81&gt;Hilfstabelle!$R81),"ja",""))</f>
        <v/>
      </c>
      <c r="AA27" s="780" t="str">
        <f t="shared" si="3"/>
        <v/>
      </c>
      <c r="AB27" s="266"/>
      <c r="AC27" s="266"/>
      <c r="AD27" s="266"/>
      <c r="AE27" s="44"/>
      <c r="AF27" s="44"/>
      <c r="AG27" s="44"/>
      <c r="AH27" s="44"/>
      <c r="AI27" s="44"/>
      <c r="AJ27" s="44"/>
      <c r="AK27" s="44"/>
      <c r="AL27" s="44"/>
      <c r="AM27" s="44"/>
      <c r="AN27" s="44"/>
    </row>
    <row r="28" spans="1:40" ht="20.100000000000001" hidden="1" customHeight="1" outlineLevel="1">
      <c r="A28" s="282">
        <v>14</v>
      </c>
      <c r="B28" s="861"/>
      <c r="C28" s="860"/>
      <c r="D28" s="991"/>
      <c r="E28" s="991"/>
      <c r="F28" s="803"/>
      <c r="G28" s="802"/>
      <c r="H28" s="802"/>
      <c r="I28" s="306">
        <f t="shared" si="6"/>
        <v>0</v>
      </c>
      <c r="J28" s="300">
        <f t="shared" si="7"/>
        <v>0</v>
      </c>
      <c r="K28" s="862"/>
      <c r="L28" s="804"/>
      <c r="M28" s="301">
        <f>IF(AND(Hilfstabelle!Q82="",Hilfstabelle!R82=""),J28*12+K28*J28+L28*IF(I28&lt;451,J$7,J$6),IF(OR(Hilfstabelle!Q82="",Hilfstabelle!R82="",Hilfstabelle!Q82=0,Hilfstabelle!R82=0,Hilfstabelle!Q82&gt;Hilfstabelle!R82),0,J28*(Hilfstabelle!R82-Hilfstabelle!Q82+1)+J28*K28+L28*IF(I28&lt;451,J$7,J$6)))</f>
        <v>0</v>
      </c>
      <c r="N28" s="302">
        <f>$C28*(IF(Hilfstabelle!$Q82="",1,IF(Hilfstabelle!$Q82="bis",Hilfstabelle!$R82/12,IF(Hilfstabelle!$Q82="ab",(12-Hilfstabelle!$R82+1)/12,((Hilfstabelle!R82+1)-Hilfstabelle!Q82)/12))))</f>
        <v>0</v>
      </c>
      <c r="O28" s="864"/>
      <c r="P28" s="303">
        <f t="shared" si="2"/>
        <v>0</v>
      </c>
      <c r="Q28" s="262" t="str">
        <f t="shared" si="4"/>
        <v/>
      </c>
      <c r="R28" s="262"/>
      <c r="S28" s="261"/>
      <c r="T28" s="261"/>
      <c r="U28" s="261"/>
      <c r="V28" s="781"/>
      <c r="W28" s="261"/>
      <c r="X28" s="781" t="str">
        <f t="shared" si="5"/>
        <v/>
      </c>
      <c r="Y28" s="261"/>
      <c r="Z28" s="979" t="str">
        <f>IF(AND(Hilfstabelle!$Q82="",Hilfstabelle!$R82=""),"",IF(OR(Hilfstabelle!$Q82="",Hilfstabelle!$R82="",Hilfstabelle!$Q82=0,Hilfstabelle!$R82=0,Hilfstabelle!$Q82&gt;Hilfstabelle!$R82),"ja",""))</f>
        <v/>
      </c>
      <c r="AA28" s="780" t="str">
        <f t="shared" si="3"/>
        <v/>
      </c>
      <c r="AB28" s="266"/>
      <c r="AC28" s="266"/>
      <c r="AD28" s="266"/>
      <c r="AE28" s="44"/>
      <c r="AF28" s="44"/>
      <c r="AG28" s="44"/>
      <c r="AH28" s="44"/>
      <c r="AI28" s="44"/>
      <c r="AJ28" s="44"/>
      <c r="AK28" s="44"/>
      <c r="AL28" s="44"/>
      <c r="AM28" s="44"/>
      <c r="AN28" s="44"/>
    </row>
    <row r="29" spans="1:40" ht="20.100000000000001" hidden="1" customHeight="1" outlineLevel="1">
      <c r="A29" s="282">
        <v>15</v>
      </c>
      <c r="B29" s="861"/>
      <c r="C29" s="860"/>
      <c r="D29" s="991"/>
      <c r="E29" s="991"/>
      <c r="F29" s="803"/>
      <c r="G29" s="802"/>
      <c r="H29" s="802"/>
      <c r="I29" s="306">
        <f t="shared" si="6"/>
        <v>0</v>
      </c>
      <c r="J29" s="300">
        <f t="shared" si="7"/>
        <v>0</v>
      </c>
      <c r="K29" s="862"/>
      <c r="L29" s="804"/>
      <c r="M29" s="301">
        <f>IF(AND(Hilfstabelle!Q83="",Hilfstabelle!R83=""),J29*12+K29*J29+L29*IF(I29&lt;451,J$7,J$6),IF(OR(Hilfstabelle!Q83="",Hilfstabelle!R83="",Hilfstabelle!Q83=0,Hilfstabelle!R83=0,Hilfstabelle!Q83&gt;Hilfstabelle!R83),0,J29*(Hilfstabelle!R83-Hilfstabelle!Q83+1)+J29*K29+L29*IF(I29&lt;451,J$7,J$6)))</f>
        <v>0</v>
      </c>
      <c r="N29" s="302">
        <f>$C29*(IF(Hilfstabelle!$Q83="",1,IF(Hilfstabelle!$Q83="bis",Hilfstabelle!$R83/12,IF(Hilfstabelle!$Q83="ab",(12-Hilfstabelle!$R83+1)/12,((Hilfstabelle!R83+1)-Hilfstabelle!Q83)/12))))</f>
        <v>0</v>
      </c>
      <c r="O29" s="864"/>
      <c r="P29" s="303">
        <f t="shared" si="2"/>
        <v>0</v>
      </c>
      <c r="Q29" s="262" t="str">
        <f t="shared" si="4"/>
        <v/>
      </c>
      <c r="R29" s="262"/>
      <c r="S29" s="261"/>
      <c r="T29" s="261"/>
      <c r="U29" s="261"/>
      <c r="V29" s="781"/>
      <c r="W29" s="261"/>
      <c r="X29" s="781" t="str">
        <f t="shared" si="5"/>
        <v/>
      </c>
      <c r="Y29" s="261"/>
      <c r="Z29" s="979" t="str">
        <f>IF(AND(Hilfstabelle!$Q83="",Hilfstabelle!$R83=""),"",IF(OR(Hilfstabelle!$Q83="",Hilfstabelle!$R83="",Hilfstabelle!$Q83=0,Hilfstabelle!$R83=0,Hilfstabelle!$Q83&gt;Hilfstabelle!$R83),"ja",""))</f>
        <v/>
      </c>
      <c r="AA29" s="780" t="str">
        <f t="shared" si="3"/>
        <v/>
      </c>
      <c r="AB29" s="266"/>
      <c r="AC29" s="266"/>
      <c r="AD29" s="266"/>
      <c r="AE29" s="44"/>
      <c r="AF29" s="44"/>
      <c r="AG29" s="44"/>
      <c r="AH29" s="44"/>
      <c r="AI29" s="44"/>
      <c r="AJ29" s="44"/>
      <c r="AK29" s="44"/>
      <c r="AL29" s="44"/>
      <c r="AM29" s="44"/>
      <c r="AN29" s="44"/>
    </row>
    <row r="30" spans="1:40" ht="20.100000000000001" hidden="1" customHeight="1" outlineLevel="1">
      <c r="A30" s="282">
        <v>16</v>
      </c>
      <c r="B30" s="861"/>
      <c r="C30" s="860"/>
      <c r="D30" s="991"/>
      <c r="E30" s="991"/>
      <c r="F30" s="803"/>
      <c r="G30" s="802"/>
      <c r="H30" s="802"/>
      <c r="I30" s="306">
        <f t="shared" si="6"/>
        <v>0</v>
      </c>
      <c r="J30" s="300">
        <f t="shared" si="7"/>
        <v>0</v>
      </c>
      <c r="K30" s="862"/>
      <c r="L30" s="804"/>
      <c r="M30" s="301">
        <f>IF(AND(Hilfstabelle!Q84="",Hilfstabelle!R84=""),J30*12+K30*J30+L30*IF(I30&lt;451,J$7,J$6),IF(OR(Hilfstabelle!Q84="",Hilfstabelle!R84="",Hilfstabelle!Q84=0,Hilfstabelle!R84=0,Hilfstabelle!Q84&gt;Hilfstabelle!R84),0,J30*(Hilfstabelle!R84-Hilfstabelle!Q84+1)+J30*K30+L30*IF(I30&lt;451,J$7,J$6)))</f>
        <v>0</v>
      </c>
      <c r="N30" s="302">
        <f>$C30*(IF(Hilfstabelle!$Q84="",1,IF(Hilfstabelle!$Q84="bis",Hilfstabelle!$R84/12,IF(Hilfstabelle!$Q84="ab",(12-Hilfstabelle!$R84+1)/12,((Hilfstabelle!R84+1)-Hilfstabelle!Q84)/12))))</f>
        <v>0</v>
      </c>
      <c r="O30" s="864"/>
      <c r="P30" s="303">
        <f t="shared" si="2"/>
        <v>0</v>
      </c>
      <c r="Q30" s="262" t="str">
        <f t="shared" si="4"/>
        <v/>
      </c>
      <c r="R30" s="262"/>
      <c r="S30" s="261"/>
      <c r="T30" s="261"/>
      <c r="U30" s="261"/>
      <c r="V30" s="781"/>
      <c r="W30" s="261"/>
      <c r="X30" s="781" t="str">
        <f t="shared" si="5"/>
        <v/>
      </c>
      <c r="Y30" s="261"/>
      <c r="Z30" s="979" t="str">
        <f>IF(AND(Hilfstabelle!$Q84="",Hilfstabelle!$R84=""),"",IF(OR(Hilfstabelle!$Q84="",Hilfstabelle!$R84="",Hilfstabelle!$Q84=0,Hilfstabelle!$R84=0,Hilfstabelle!$Q84&gt;Hilfstabelle!$R84),"ja",""))</f>
        <v/>
      </c>
      <c r="AA30" s="780" t="str">
        <f t="shared" si="3"/>
        <v/>
      </c>
      <c r="AB30" s="266"/>
      <c r="AC30" s="266"/>
      <c r="AD30" s="266"/>
      <c r="AE30" s="44"/>
      <c r="AF30" s="44"/>
      <c r="AG30" s="44"/>
      <c r="AH30" s="44"/>
      <c r="AI30" s="44"/>
      <c r="AJ30" s="44"/>
      <c r="AK30" s="44"/>
      <c r="AL30" s="44"/>
      <c r="AM30" s="44"/>
      <c r="AN30" s="44"/>
    </row>
    <row r="31" spans="1:40" ht="20.100000000000001" hidden="1" customHeight="1" outlineLevel="1">
      <c r="A31" s="282">
        <v>17</v>
      </c>
      <c r="B31" s="861"/>
      <c r="C31" s="860"/>
      <c r="D31" s="991"/>
      <c r="E31" s="991"/>
      <c r="F31" s="803"/>
      <c r="G31" s="802"/>
      <c r="H31" s="802"/>
      <c r="I31" s="306">
        <f t="shared" si="6"/>
        <v>0</v>
      </c>
      <c r="J31" s="300">
        <f t="shared" si="7"/>
        <v>0</v>
      </c>
      <c r="K31" s="862"/>
      <c r="L31" s="804"/>
      <c r="M31" s="301">
        <f>IF(AND(Hilfstabelle!Q85="",Hilfstabelle!R85=""),J31*12+K31*J31+L31*IF(I31&lt;451,J$7,J$6),IF(OR(Hilfstabelle!Q85="",Hilfstabelle!R85="",Hilfstabelle!Q85=0,Hilfstabelle!R85=0,Hilfstabelle!Q85&gt;Hilfstabelle!R85),0,J31*(Hilfstabelle!R85-Hilfstabelle!Q85+1)+J31*K31+L31*IF(I31&lt;451,J$7,J$6)))</f>
        <v>0</v>
      </c>
      <c r="N31" s="302">
        <f>$C31*(IF(Hilfstabelle!$Q85="",1,IF(Hilfstabelle!$Q85="bis",Hilfstabelle!$R85/12,IF(Hilfstabelle!$Q85="ab",(12-Hilfstabelle!$R85+1)/12,((Hilfstabelle!R85+1)-Hilfstabelle!Q85)/12))))</f>
        <v>0</v>
      </c>
      <c r="O31" s="864"/>
      <c r="P31" s="303">
        <f t="shared" si="2"/>
        <v>0</v>
      </c>
      <c r="Q31" s="262" t="str">
        <f t="shared" si="4"/>
        <v/>
      </c>
      <c r="R31" s="262"/>
      <c r="S31" s="261"/>
      <c r="T31" s="261"/>
      <c r="U31" s="261"/>
      <c r="V31" s="781"/>
      <c r="W31" s="261"/>
      <c r="X31" s="781" t="str">
        <f t="shared" si="5"/>
        <v/>
      </c>
      <c r="Y31" s="261"/>
      <c r="Z31" s="979" t="str">
        <f>IF(AND(Hilfstabelle!$Q85="",Hilfstabelle!$R85=""),"",IF(OR(Hilfstabelle!$Q85="",Hilfstabelle!$R85="",Hilfstabelle!$Q85=0,Hilfstabelle!$R85=0,Hilfstabelle!$Q85&gt;Hilfstabelle!$R85),"ja",""))</f>
        <v/>
      </c>
      <c r="AA31" s="780" t="str">
        <f t="shared" si="3"/>
        <v/>
      </c>
      <c r="AB31" s="266"/>
      <c r="AC31" s="266"/>
      <c r="AD31" s="266"/>
      <c r="AE31" s="44"/>
      <c r="AF31" s="44"/>
      <c r="AG31" s="44"/>
      <c r="AH31" s="44"/>
      <c r="AI31" s="44"/>
      <c r="AJ31" s="44"/>
      <c r="AK31" s="44"/>
      <c r="AL31" s="44"/>
      <c r="AM31" s="44"/>
      <c r="AN31" s="44"/>
    </row>
    <row r="32" spans="1:40" ht="20.100000000000001" hidden="1" customHeight="1" outlineLevel="1">
      <c r="A32" s="282">
        <v>18</v>
      </c>
      <c r="B32" s="861"/>
      <c r="C32" s="860"/>
      <c r="D32" s="991"/>
      <c r="E32" s="991"/>
      <c r="F32" s="803"/>
      <c r="G32" s="802"/>
      <c r="H32" s="802"/>
      <c r="I32" s="306">
        <f t="shared" si="6"/>
        <v>0</v>
      </c>
      <c r="J32" s="300">
        <f t="shared" si="7"/>
        <v>0</v>
      </c>
      <c r="K32" s="862"/>
      <c r="L32" s="804"/>
      <c r="M32" s="301">
        <f>IF(AND(Hilfstabelle!Q86="",Hilfstabelle!R86=""),J32*12+K32*J32+L32*IF(I32&lt;451,J$7,J$6),IF(OR(Hilfstabelle!Q86="",Hilfstabelle!R86="",Hilfstabelle!Q86=0,Hilfstabelle!R86=0,Hilfstabelle!Q86&gt;Hilfstabelle!R86),0,J32*(Hilfstabelle!R86-Hilfstabelle!Q86+1)+J32*K32+L32*IF(I32&lt;451,J$7,J$6)))</f>
        <v>0</v>
      </c>
      <c r="N32" s="302">
        <f>$C32*(IF(Hilfstabelle!$Q86="",1,IF(Hilfstabelle!$Q86="bis",Hilfstabelle!$R86/12,IF(Hilfstabelle!$Q86="ab",(12-Hilfstabelle!$R86+1)/12,((Hilfstabelle!R86+1)-Hilfstabelle!Q86)/12))))</f>
        <v>0</v>
      </c>
      <c r="O32" s="864"/>
      <c r="P32" s="303">
        <f t="shared" si="2"/>
        <v>0</v>
      </c>
      <c r="Q32" s="262" t="str">
        <f t="shared" si="4"/>
        <v/>
      </c>
      <c r="R32" s="262"/>
      <c r="S32" s="261"/>
      <c r="T32" s="261"/>
      <c r="U32" s="261"/>
      <c r="V32" s="781"/>
      <c r="W32" s="261"/>
      <c r="X32" s="781" t="str">
        <f t="shared" si="5"/>
        <v/>
      </c>
      <c r="Y32" s="261"/>
      <c r="Z32" s="979" t="str">
        <f>IF(AND(Hilfstabelle!$Q86="",Hilfstabelle!$R86=""),"",IF(OR(Hilfstabelle!$Q86="",Hilfstabelle!$R86="",Hilfstabelle!$Q86=0,Hilfstabelle!$R86=0,Hilfstabelle!$Q86&gt;Hilfstabelle!$R86),"ja",""))</f>
        <v/>
      </c>
      <c r="AA32" s="780" t="str">
        <f t="shared" si="3"/>
        <v/>
      </c>
      <c r="AB32" s="266"/>
      <c r="AC32" s="266"/>
      <c r="AD32" s="266"/>
      <c r="AE32" s="44"/>
      <c r="AF32" s="44"/>
      <c r="AG32" s="44"/>
      <c r="AH32" s="44"/>
      <c r="AI32" s="44"/>
      <c r="AJ32" s="44"/>
      <c r="AK32" s="44"/>
      <c r="AL32" s="44"/>
      <c r="AM32" s="44"/>
      <c r="AN32" s="44"/>
    </row>
    <row r="33" spans="1:40" ht="20.100000000000001" hidden="1" customHeight="1" outlineLevel="1">
      <c r="A33" s="282">
        <v>19</v>
      </c>
      <c r="B33" s="861"/>
      <c r="C33" s="860"/>
      <c r="D33" s="991"/>
      <c r="E33" s="991"/>
      <c r="F33" s="803"/>
      <c r="G33" s="802"/>
      <c r="H33" s="802"/>
      <c r="I33" s="306">
        <f>IF(C33=0,0,IF(C33&gt;=1,IF(AND(OR(F33&gt;=1,G33&gt;=1), H33&gt;1),"Lohn/Gehalt ???",C33*IF(F33="",H33,F33*G33*4.33))))</f>
        <v>0</v>
      </c>
      <c r="J33" s="300">
        <f t="shared" si="7"/>
        <v>0</v>
      </c>
      <c r="K33" s="862"/>
      <c r="L33" s="804"/>
      <c r="M33" s="301">
        <f>IF(AND(Hilfstabelle!Q87="",Hilfstabelle!R87=""),J33*12+K33*J33+L33*IF(I33&lt;451,J$7,J$6),IF(OR(Hilfstabelle!Q87="",Hilfstabelle!R87="",Hilfstabelle!Q87=0,Hilfstabelle!R87=0,Hilfstabelle!Q87&gt;Hilfstabelle!R87),0,J33*(Hilfstabelle!R87-Hilfstabelle!Q87+1)+J33*K33+L33*IF(I33&lt;451,J$7,J$6)))</f>
        <v>0</v>
      </c>
      <c r="N33" s="302">
        <f>$C33*(IF(Hilfstabelle!$Q87="",1,IF(Hilfstabelle!$Q87="bis",Hilfstabelle!$R87/12,IF(Hilfstabelle!$Q87="ab",(12-Hilfstabelle!$R87+1)/12,((Hilfstabelle!R87+1)-Hilfstabelle!Q87)/12))))</f>
        <v>0</v>
      </c>
      <c r="O33" s="864"/>
      <c r="P33" s="303">
        <f t="shared" si="2"/>
        <v>0</v>
      </c>
      <c r="Q33" s="262" t="str">
        <f t="shared" si="4"/>
        <v/>
      </c>
      <c r="R33" s="262"/>
      <c r="S33" s="261"/>
      <c r="T33" s="261"/>
      <c r="U33" s="261"/>
      <c r="V33" s="781"/>
      <c r="W33" s="261"/>
      <c r="X33" s="781" t="str">
        <f t="shared" si="5"/>
        <v/>
      </c>
      <c r="Y33" s="261"/>
      <c r="Z33" s="979" t="str">
        <f>IF(AND(Hilfstabelle!$Q87="",Hilfstabelle!$R87=""),"",IF(OR(Hilfstabelle!$Q87="",Hilfstabelle!$R87="",Hilfstabelle!$Q87=0,Hilfstabelle!$R87=0,Hilfstabelle!$Q87&gt;Hilfstabelle!$R87),"ja",""))</f>
        <v/>
      </c>
      <c r="AA33" s="780" t="str">
        <f t="shared" si="3"/>
        <v/>
      </c>
      <c r="AB33" s="266"/>
      <c r="AC33" s="266"/>
      <c r="AD33" s="266"/>
      <c r="AE33" s="44"/>
      <c r="AF33" s="44"/>
      <c r="AG33" s="44"/>
      <c r="AH33" s="44"/>
      <c r="AI33" s="44"/>
      <c r="AJ33" s="44"/>
      <c r="AK33" s="44"/>
      <c r="AL33" s="44"/>
      <c r="AM33" s="44"/>
      <c r="AN33" s="44"/>
    </row>
    <row r="34" spans="1:40" ht="20.100000000000001" hidden="1" customHeight="1" outlineLevel="1">
      <c r="A34" s="282">
        <v>20</v>
      </c>
      <c r="B34" s="861"/>
      <c r="C34" s="860"/>
      <c r="D34" s="991"/>
      <c r="E34" s="991"/>
      <c r="F34" s="803"/>
      <c r="G34" s="802"/>
      <c r="H34" s="802"/>
      <c r="I34" s="306">
        <f>IF(C34=0,0,IF(C34&gt;=1,IF(AND(OR(F34&gt;=1,G34&gt;=1), H34&gt;1),"Lohn/Gehalt ???",C34*IF(F34="",H34,F34*G34*4.33))))</f>
        <v>0</v>
      </c>
      <c r="J34" s="300">
        <f t="shared" si="7"/>
        <v>0</v>
      </c>
      <c r="K34" s="862"/>
      <c r="L34" s="804"/>
      <c r="M34" s="301">
        <f>IF(AND(Hilfstabelle!Q88="",Hilfstabelle!R88=""),J34*12+K34*J34+L34*IF(I34&lt;451,J$7,J$6),IF(OR(Hilfstabelle!Q88="",Hilfstabelle!R88="",Hilfstabelle!Q88=0,Hilfstabelle!R88=0,Hilfstabelle!Q88&gt;Hilfstabelle!R88),0,J34*(Hilfstabelle!R88-Hilfstabelle!Q88+1)+J34*K34+L34*IF(I34&lt;451,J$7,J$6)))</f>
        <v>0</v>
      </c>
      <c r="N34" s="302">
        <f>$C34*(IF(Hilfstabelle!$Q88="",1,IF(Hilfstabelle!$Q88="bis",Hilfstabelle!$R88/12,IF(Hilfstabelle!$Q88="ab",(12-Hilfstabelle!$R88+1)/12,((Hilfstabelle!R88+1)-Hilfstabelle!Q88)/12))))</f>
        <v>0</v>
      </c>
      <c r="O34" s="864"/>
      <c r="P34" s="303">
        <f t="shared" si="2"/>
        <v>0</v>
      </c>
      <c r="Q34" s="262" t="str">
        <f t="shared" si="4"/>
        <v/>
      </c>
      <c r="R34" s="262"/>
      <c r="S34" s="261"/>
      <c r="T34" s="261"/>
      <c r="U34" s="261"/>
      <c r="V34" s="781"/>
      <c r="W34" s="261"/>
      <c r="X34" s="781" t="str">
        <f t="shared" si="5"/>
        <v/>
      </c>
      <c r="Y34" s="261"/>
      <c r="Z34" s="979" t="str">
        <f>IF(AND(Hilfstabelle!$Q88="",Hilfstabelle!$R88=""),"",IF(OR(Hilfstabelle!$Q88="",Hilfstabelle!$R88="",Hilfstabelle!$Q88=0,Hilfstabelle!$R88=0,Hilfstabelle!$Q88&gt;Hilfstabelle!$R88),"ja",""))</f>
        <v/>
      </c>
      <c r="AA34" s="780" t="str">
        <f t="shared" si="3"/>
        <v/>
      </c>
      <c r="AB34" s="266"/>
      <c r="AC34" s="266"/>
      <c r="AD34" s="266"/>
      <c r="AE34" s="44"/>
      <c r="AF34" s="44"/>
      <c r="AG34" s="44"/>
      <c r="AH34" s="44"/>
      <c r="AI34" s="44"/>
      <c r="AJ34" s="44"/>
      <c r="AK34" s="44"/>
      <c r="AL34" s="44"/>
      <c r="AM34" s="44"/>
      <c r="AN34" s="44"/>
    </row>
    <row r="35" spans="1:40" ht="20.100000000000001" customHeight="1" collapsed="1">
      <c r="A35" s="282">
        <f>IF(SUM(C23:C34)=0,9,21)</f>
        <v>9</v>
      </c>
      <c r="B35" s="304" t="s">
        <v>256</v>
      </c>
      <c r="C35" s="860">
        <v>1</v>
      </c>
      <c r="D35" s="992"/>
      <c r="E35" s="992"/>
      <c r="F35" s="303"/>
      <c r="G35" s="305"/>
      <c r="H35" s="305"/>
      <c r="I35" s="306"/>
      <c r="J35" s="300"/>
      <c r="K35" s="307"/>
      <c r="L35" s="308"/>
      <c r="M35" s="301"/>
      <c r="N35" s="302">
        <f>$C35*(IF(Hilfstabelle!$Q89="",1,IF(Hilfstabelle!$Q89="bis",Hilfstabelle!$R89/12,IF(Hilfstabelle!$Q89="ab",(12-Hilfstabelle!$R89+1)/12,((Hilfstabelle!R89+1)-Hilfstabelle!Q89)/12))))</f>
        <v>1</v>
      </c>
      <c r="O35" s="864"/>
      <c r="P35" s="303">
        <f t="shared" si="2"/>
        <v>0</v>
      </c>
      <c r="Q35" s="262"/>
      <c r="R35" s="262"/>
      <c r="S35" s="261"/>
      <c r="T35" s="261"/>
      <c r="U35" s="261"/>
      <c r="V35" s="781"/>
      <c r="W35" s="261"/>
      <c r="X35" s="781" t="str">
        <f t="shared" si="5"/>
        <v/>
      </c>
      <c r="Y35" s="261"/>
      <c r="Z35" s="979" t="str">
        <f>IF(AND(Hilfstabelle!$Q89="",Hilfstabelle!$R89=""),"",IF(OR(Hilfstabelle!$Q89="",Hilfstabelle!$R89="",Hilfstabelle!$Q89=0,Hilfstabelle!$R89=0,Hilfstabelle!$Q89&gt;Hilfstabelle!$R89),"ja",""))</f>
        <v/>
      </c>
      <c r="AA35" s="780"/>
      <c r="AB35" s="266"/>
      <c r="AC35" s="266"/>
      <c r="AD35" s="266"/>
      <c r="AE35" s="44"/>
      <c r="AF35" s="44"/>
      <c r="AG35" s="44"/>
      <c r="AH35" s="44"/>
      <c r="AI35" s="44"/>
      <c r="AJ35" s="44"/>
      <c r="AK35" s="44"/>
      <c r="AL35" s="44"/>
      <c r="AM35" s="44"/>
      <c r="AN35" s="44"/>
    </row>
    <row r="36" spans="1:40" ht="20.100000000000001" customHeight="1">
      <c r="A36" s="289">
        <f>IF(A35=9,10,22)</f>
        <v>10</v>
      </c>
      <c r="B36" s="861" t="s">
        <v>282</v>
      </c>
      <c r="C36" s="860"/>
      <c r="D36" s="991"/>
      <c r="E36" s="991"/>
      <c r="F36" s="803"/>
      <c r="G36" s="802"/>
      <c r="H36" s="802"/>
      <c r="I36" s="299">
        <f>IF(C36=0,0,IF(C36&gt;=1,IF(AND(OR(F36&gt;=1,G36&gt;=1), H36&gt;1),"Gehalt ???",C36*IF(F36="",H36,F36*G36*4.33))))</f>
        <v>0</v>
      </c>
      <c r="J36" s="300">
        <f>I36</f>
        <v>0</v>
      </c>
      <c r="K36" s="862"/>
      <c r="L36" s="804"/>
      <c r="M36" s="301">
        <f>IF(AND(Hilfstabelle!Q90="",Hilfstabelle!R90=""),J36*12+K36*J36+L36*IF(I36&lt;451,J$7,J$6),IF(OR(Hilfstabelle!Q90="",Hilfstabelle!R90="",Hilfstabelle!Q90=0,Hilfstabelle!R90=0,Hilfstabelle!Q90&gt;Hilfstabelle!R90),0,J36*(Hilfstabelle!R90-Hilfstabelle!Q90+1)+J36*K36+L36*IF(I36&lt;451,J$7,J$6)))</f>
        <v>0</v>
      </c>
      <c r="N36" s="302">
        <f>$C36*(IF(Hilfstabelle!$Q90="",1,IF(Hilfstabelle!$Q90="bis",Hilfstabelle!$R90/12,IF(Hilfstabelle!$Q90="ab",(12-Hilfstabelle!$R90+1)/12,((Hilfstabelle!R90+1)-Hilfstabelle!Q90)/12))))</f>
        <v>0</v>
      </c>
      <c r="O36" s="864"/>
      <c r="P36" s="303">
        <f t="shared" si="2"/>
        <v>0</v>
      </c>
      <c r="Q36" s="262" t="str">
        <f t="shared" si="4"/>
        <v/>
      </c>
      <c r="R36" s="262"/>
      <c r="S36" s="261"/>
      <c r="T36" s="261"/>
      <c r="U36" s="261"/>
      <c r="V36" s="781"/>
      <c r="W36" s="261"/>
      <c r="X36" s="781" t="str">
        <f t="shared" si="5"/>
        <v/>
      </c>
      <c r="Y36" s="261"/>
      <c r="Z36" s="979" t="str">
        <f>IF(AND(Hilfstabelle!$Q90="",Hilfstabelle!$R90=""),"",IF(OR(Hilfstabelle!$Q90="",Hilfstabelle!$R90="",Hilfstabelle!$Q90=0,Hilfstabelle!$R90=0,Hilfstabelle!$Q90&gt;Hilfstabelle!$R90),"ja",""))</f>
        <v/>
      </c>
      <c r="AA36" s="780" t="str">
        <f t="shared" si="3"/>
        <v/>
      </c>
      <c r="AB36" s="266"/>
      <c r="AC36" s="266"/>
      <c r="AD36" s="266"/>
      <c r="AE36" s="44"/>
      <c r="AF36" s="44"/>
      <c r="AG36" s="44"/>
      <c r="AH36" s="44"/>
      <c r="AI36" s="44"/>
      <c r="AJ36" s="44"/>
      <c r="AK36" s="44"/>
      <c r="AL36" s="44"/>
      <c r="AM36" s="44"/>
      <c r="AN36" s="44"/>
    </row>
    <row r="37" spans="1:40" ht="20.100000000000001" customHeight="1">
      <c r="A37" s="289">
        <f>IF(A36=10,11,23)</f>
        <v>11</v>
      </c>
      <c r="B37" s="861" t="s">
        <v>282</v>
      </c>
      <c r="C37" s="860"/>
      <c r="D37" s="991"/>
      <c r="E37" s="991"/>
      <c r="F37" s="803"/>
      <c r="G37" s="802"/>
      <c r="H37" s="802"/>
      <c r="I37" s="299">
        <f>IF(C37=0,0,IF(C37&gt;=1,IF(AND(OR(F37&gt;=1,G37&gt;=1), H37&gt;1),"Gehalt ???",C37*IF(F37="",H37,F37*G37*4.33))))</f>
        <v>0</v>
      </c>
      <c r="J37" s="300">
        <f>I37</f>
        <v>0</v>
      </c>
      <c r="K37" s="862"/>
      <c r="L37" s="804"/>
      <c r="M37" s="301">
        <f>IF(AND(Hilfstabelle!Q91="",Hilfstabelle!R91=""),J37*12+K37*J37+L37*IF(I37&lt;451,J$7,J$6),IF(OR(Hilfstabelle!Q91="",Hilfstabelle!R91="",Hilfstabelle!Q91=0,Hilfstabelle!R91=0,Hilfstabelle!Q91&gt;Hilfstabelle!R91),0,J37*(Hilfstabelle!R91-Hilfstabelle!Q91+1)+J37*K37+L37*IF(I37&lt;451,J$7,J$6)))</f>
        <v>0</v>
      </c>
      <c r="N37" s="302">
        <f>$C37*(IF(Hilfstabelle!$Q91="",1,IF(Hilfstabelle!$Q91="bis",Hilfstabelle!$R91/12,IF(Hilfstabelle!$Q91="ab",(12-Hilfstabelle!$R91+1)/12,((Hilfstabelle!R91+1)-Hilfstabelle!Q91)/12))))</f>
        <v>0</v>
      </c>
      <c r="O37" s="864"/>
      <c r="P37" s="303">
        <f>N37*O37</f>
        <v>0</v>
      </c>
      <c r="Q37" s="262" t="str">
        <f t="shared" si="4"/>
        <v/>
      </c>
      <c r="R37" s="262"/>
      <c r="S37" s="261"/>
      <c r="T37" s="261"/>
      <c r="U37" s="261"/>
      <c r="V37" s="781"/>
      <c r="W37" s="261"/>
      <c r="X37" s="781" t="str">
        <f t="shared" si="5"/>
        <v/>
      </c>
      <c r="Y37" s="261"/>
      <c r="Z37" s="979" t="str">
        <f>IF(AND(Hilfstabelle!$Q91="",Hilfstabelle!$R91=""),"",IF(OR(Hilfstabelle!$Q91="",Hilfstabelle!$R91="",Hilfstabelle!$Q91=0,Hilfstabelle!$R91=0,Hilfstabelle!$Q91&gt;Hilfstabelle!$R91),"ja",""))</f>
        <v/>
      </c>
      <c r="AA37" s="780" t="str">
        <f t="shared" si="3"/>
        <v/>
      </c>
      <c r="AB37" s="266"/>
      <c r="AC37" s="266"/>
      <c r="AD37" s="266"/>
      <c r="AE37" s="44"/>
      <c r="AF37" s="44"/>
      <c r="AG37" s="44"/>
      <c r="AH37" s="44"/>
      <c r="AI37" s="44"/>
      <c r="AJ37" s="44"/>
      <c r="AK37" s="44"/>
      <c r="AL37" s="44"/>
      <c r="AM37" s="44"/>
      <c r="AN37" s="44"/>
    </row>
    <row r="38" spans="1:40" ht="20.100000000000001" customHeight="1">
      <c r="A38" s="289">
        <f>IF(A37=11,12,24)</f>
        <v>12</v>
      </c>
      <c r="B38" s="861" t="s">
        <v>282</v>
      </c>
      <c r="C38" s="860"/>
      <c r="D38" s="991"/>
      <c r="E38" s="991"/>
      <c r="F38" s="805"/>
      <c r="G38" s="802"/>
      <c r="H38" s="802"/>
      <c r="I38" s="299">
        <f>IF(C38=0,0,IF(C38&gt;=1,IF(AND(OR(F38&gt;=1,G38&gt;=1), H38&gt;1),"Gehalt ???",C38*IF(F38="",H38,F38*G38*4.33))))</f>
        <v>0</v>
      </c>
      <c r="J38" s="300">
        <f>I38</f>
        <v>0</v>
      </c>
      <c r="K38" s="862"/>
      <c r="L38" s="804"/>
      <c r="M38" s="301">
        <f>IF(AND(Hilfstabelle!Q92="",Hilfstabelle!R92=""),J38*12+K38*J38+L38*IF(I38&lt;451,J$7,J$6),IF(OR(Hilfstabelle!Q92="",Hilfstabelle!R92="",Hilfstabelle!Q92=0,Hilfstabelle!R92=0,Hilfstabelle!Q92&gt;Hilfstabelle!R92),0,J38*(Hilfstabelle!R92-Hilfstabelle!Q92+1)+J38*K38+L38*IF(I38&lt;451,J$7,J$6)))</f>
        <v>0</v>
      </c>
      <c r="N38" s="302">
        <f>$C38*(IF(Hilfstabelle!$Q92="",1,IF(Hilfstabelle!$Q92="bis",Hilfstabelle!$R92/12,IF(Hilfstabelle!$Q92="ab",(12-Hilfstabelle!$R92+1)/12,((Hilfstabelle!R92+1)-Hilfstabelle!Q92)/12))))</f>
        <v>0</v>
      </c>
      <c r="O38" s="864"/>
      <c r="P38" s="303">
        <f>N38*O38</f>
        <v>0</v>
      </c>
      <c r="Q38" s="262" t="str">
        <f t="shared" si="4"/>
        <v/>
      </c>
      <c r="R38" s="262"/>
      <c r="S38" s="261"/>
      <c r="T38" s="261"/>
      <c r="U38" s="261"/>
      <c r="V38" s="781"/>
      <c r="W38" s="261"/>
      <c r="X38" s="781" t="str">
        <f t="shared" si="5"/>
        <v/>
      </c>
      <c r="Y38" s="261"/>
      <c r="Z38" s="979" t="str">
        <f>IF(AND(Hilfstabelle!$Q92="",Hilfstabelle!$R92=""),"",IF(OR(Hilfstabelle!$Q92="",Hilfstabelle!$R92="",Hilfstabelle!$Q92=0,Hilfstabelle!$R92=0,Hilfstabelle!$Q92&gt;Hilfstabelle!$R92),"ja",""))</f>
        <v/>
      </c>
      <c r="AA38" s="780" t="str">
        <f t="shared" si="3"/>
        <v/>
      </c>
      <c r="AB38" s="266"/>
      <c r="AC38" s="266"/>
      <c r="AD38" s="266"/>
      <c r="AE38" s="44"/>
      <c r="AF38" s="44"/>
      <c r="AG38" s="44"/>
      <c r="AH38" s="44"/>
      <c r="AI38" s="44"/>
      <c r="AJ38" s="44"/>
      <c r="AK38" s="44"/>
      <c r="AL38" s="44"/>
      <c r="AM38" s="44"/>
      <c r="AN38" s="44"/>
    </row>
    <row r="39" spans="1:40" s="15" customFormat="1" ht="20.100000000000001" customHeight="1">
      <c r="A39" s="309" t="s">
        <v>9</v>
      </c>
      <c r="B39" s="310"/>
      <c r="C39" s="311">
        <f>SUM(C15:C38)</f>
        <v>1</v>
      </c>
      <c r="D39" s="313"/>
      <c r="E39" s="313"/>
      <c r="F39" s="313"/>
      <c r="G39" s="314"/>
      <c r="H39" s="314"/>
      <c r="I39" s="315">
        <f t="shared" ref="I39:N39" si="8">SUM(I15:I38)</f>
        <v>0</v>
      </c>
      <c r="J39" s="315">
        <f t="shared" si="8"/>
        <v>0</v>
      </c>
      <c r="K39" s="316">
        <f t="shared" si="8"/>
        <v>0</v>
      </c>
      <c r="L39" s="316">
        <f t="shared" si="8"/>
        <v>0</v>
      </c>
      <c r="M39" s="317">
        <f t="shared" si="8"/>
        <v>0</v>
      </c>
      <c r="N39" s="313">
        <f t="shared" si="8"/>
        <v>1</v>
      </c>
      <c r="O39" s="313"/>
      <c r="P39" s="318">
        <f>SUM(P15:P38)</f>
        <v>0</v>
      </c>
      <c r="Q39" s="319"/>
      <c r="R39" s="319"/>
      <c r="S39" s="319"/>
      <c r="T39" s="319"/>
      <c r="U39" s="319"/>
      <c r="V39" s="319"/>
      <c r="W39" s="319"/>
      <c r="X39" s="319"/>
      <c r="Y39" s="319"/>
      <c r="Z39" s="980"/>
      <c r="AA39" s="988"/>
      <c r="AB39" s="321"/>
      <c r="AC39" s="321"/>
      <c r="AD39" s="321"/>
      <c r="AE39" s="45"/>
      <c r="AF39" s="45"/>
      <c r="AG39" s="45"/>
      <c r="AH39" s="45"/>
      <c r="AI39" s="45"/>
      <c r="AJ39" s="45"/>
      <c r="AK39" s="44"/>
      <c r="AL39" s="44"/>
      <c r="AM39" s="44"/>
      <c r="AN39" s="44"/>
    </row>
    <row r="40" spans="1:40" ht="20.7" customHeight="1">
      <c r="A40" s="256"/>
      <c r="B40" s="322"/>
      <c r="C40" s="257"/>
      <c r="D40" s="256"/>
      <c r="E40" s="256"/>
      <c r="F40" s="256"/>
      <c r="G40" s="256"/>
      <c r="H40" s="256"/>
      <c r="I40" s="256"/>
      <c r="J40" s="323" t="s">
        <v>16</v>
      </c>
      <c r="K40" s="324"/>
      <c r="L40" s="324"/>
      <c r="M40" s="806"/>
      <c r="N40" s="256"/>
      <c r="O40" s="256"/>
      <c r="P40" s="256"/>
      <c r="Q40" s="261"/>
      <c r="R40" s="261"/>
      <c r="S40" s="261"/>
      <c r="T40" s="261"/>
      <c r="U40" s="261"/>
      <c r="V40" s="261"/>
      <c r="W40" s="261"/>
      <c r="X40" s="261"/>
      <c r="Y40" s="261"/>
      <c r="Z40" s="976"/>
      <c r="AA40" s="950"/>
      <c r="AB40" s="266"/>
      <c r="AC40" s="266"/>
      <c r="AD40" s="266"/>
      <c r="AE40" s="44"/>
      <c r="AF40" s="44"/>
      <c r="AG40" s="44"/>
      <c r="AH40" s="44"/>
      <c r="AI40" s="44"/>
      <c r="AJ40" s="44"/>
      <c r="AK40" s="44"/>
      <c r="AL40" s="44"/>
      <c r="AM40" s="44"/>
      <c r="AN40" s="44"/>
    </row>
    <row r="41" spans="1:40" ht="20.7" customHeight="1" thickBot="1">
      <c r="A41" s="256"/>
      <c r="B41" s="256"/>
      <c r="C41" s="257"/>
      <c r="D41" s="256"/>
      <c r="E41" s="256"/>
      <c r="F41" s="256"/>
      <c r="G41" s="256"/>
      <c r="H41" s="256"/>
      <c r="I41" s="256"/>
      <c r="J41" s="325" t="s">
        <v>106</v>
      </c>
      <c r="K41" s="326"/>
      <c r="L41" s="326"/>
      <c r="M41" s="807"/>
      <c r="N41" s="256"/>
      <c r="O41" s="256"/>
      <c r="P41" s="256"/>
      <c r="Q41" s="261"/>
      <c r="R41" s="261"/>
      <c r="S41" s="261"/>
      <c r="T41" s="261"/>
      <c r="U41" s="261"/>
      <c r="V41" s="261"/>
      <c r="W41" s="261"/>
      <c r="X41" s="261"/>
      <c r="Y41" s="261"/>
      <c r="Z41" s="976"/>
      <c r="AA41" s="950"/>
      <c r="AB41" s="266"/>
      <c r="AC41" s="266"/>
      <c r="AD41" s="266"/>
      <c r="AE41" s="44"/>
      <c r="AF41" s="44"/>
      <c r="AG41" s="44"/>
      <c r="AH41" s="44"/>
      <c r="AI41" s="44"/>
      <c r="AJ41" s="44"/>
      <c r="AK41" s="44"/>
      <c r="AL41" s="44"/>
      <c r="AM41" s="44"/>
      <c r="AN41" s="44"/>
    </row>
    <row r="42" spans="1:40" ht="20.25" customHeight="1" thickTop="1" thickBot="1">
      <c r="A42" s="256"/>
      <c r="B42" s="256"/>
      <c r="C42" s="257"/>
      <c r="D42" s="256"/>
      <c r="E42" s="256"/>
      <c r="F42" s="256"/>
      <c r="G42" s="256"/>
      <c r="H42" s="256"/>
      <c r="I42" s="256"/>
      <c r="J42" s="327" t="s">
        <v>17</v>
      </c>
      <c r="K42" s="328"/>
      <c r="L42" s="328"/>
      <c r="M42" s="329">
        <f>ROUND(M39+M40+M41,-2)</f>
        <v>0</v>
      </c>
      <c r="N42" s="256"/>
      <c r="O42" s="256"/>
      <c r="P42" s="256"/>
      <c r="Q42" s="261"/>
      <c r="R42" s="261"/>
      <c r="S42" s="261"/>
      <c r="T42" s="261"/>
      <c r="U42" s="261"/>
      <c r="V42" s="261"/>
      <c r="W42" s="261"/>
      <c r="X42" s="261"/>
      <c r="Y42" s="261"/>
      <c r="Z42" s="976"/>
      <c r="AA42" s="950"/>
      <c r="AB42" s="266"/>
      <c r="AC42" s="266"/>
      <c r="AD42" s="266"/>
      <c r="AE42" s="44"/>
      <c r="AF42" s="44"/>
      <c r="AG42" s="44"/>
      <c r="AH42" s="44"/>
      <c r="AI42" s="44"/>
      <c r="AJ42" s="44"/>
      <c r="AK42" s="44"/>
      <c r="AL42" s="44"/>
      <c r="AM42" s="44"/>
      <c r="AN42" s="44"/>
    </row>
    <row r="43" spans="1:40" ht="20.25" hidden="1" customHeight="1" outlineLevel="1" thickTop="1">
      <c r="A43" s="256"/>
      <c r="B43" s="256"/>
      <c r="C43" s="257"/>
      <c r="D43" s="256"/>
      <c r="E43" s="256"/>
      <c r="F43" s="256"/>
      <c r="G43" s="256"/>
      <c r="H43" s="256"/>
      <c r="I43" s="256"/>
      <c r="J43" s="330" t="s">
        <v>182</v>
      </c>
      <c r="K43" s="256"/>
      <c r="L43" s="256"/>
      <c r="M43" s="331">
        <f>$P$39</f>
        <v>0</v>
      </c>
      <c r="N43" s="256"/>
      <c r="O43" s="256"/>
      <c r="P43" s="256"/>
      <c r="Q43" s="261"/>
      <c r="R43" s="261"/>
      <c r="S43" s="261"/>
      <c r="T43" s="261"/>
      <c r="U43" s="261"/>
      <c r="V43" s="261"/>
      <c r="W43" s="261"/>
      <c r="X43" s="261"/>
      <c r="Y43" s="261"/>
      <c r="Z43" s="976"/>
      <c r="AA43" s="950"/>
      <c r="AB43" s="266"/>
      <c r="AC43" s="266"/>
      <c r="AD43" s="266"/>
      <c r="AE43" s="44"/>
      <c r="AF43" s="44"/>
      <c r="AG43" s="44"/>
      <c r="AH43" s="44"/>
      <c r="AI43" s="44"/>
      <c r="AJ43" s="44"/>
      <c r="AK43" s="44"/>
      <c r="AL43" s="44"/>
      <c r="AM43" s="44"/>
      <c r="AN43" s="44"/>
    </row>
    <row r="44" spans="1:40" ht="20.25" hidden="1" customHeight="1" outlineLevel="1">
      <c r="A44" s="256"/>
      <c r="B44" s="256"/>
      <c r="C44" s="257"/>
      <c r="D44" s="256"/>
      <c r="E44" s="256"/>
      <c r="F44" s="256"/>
      <c r="G44" s="256"/>
      <c r="H44" s="256"/>
      <c r="I44" s="256"/>
      <c r="J44" s="323" t="s">
        <v>257</v>
      </c>
      <c r="K44" s="324"/>
      <c r="L44" s="324"/>
      <c r="M44" s="332">
        <f>Rentabilität!$J$22</f>
        <v>0</v>
      </c>
      <c r="N44" s="256"/>
      <c r="O44" s="256"/>
      <c r="P44" s="256"/>
      <c r="Q44" s="261"/>
      <c r="R44" s="261"/>
      <c r="S44" s="261"/>
      <c r="T44" s="261"/>
      <c r="U44" s="261"/>
      <c r="V44" s="261"/>
      <c r="W44" s="261"/>
      <c r="X44" s="261"/>
      <c r="Y44" s="261"/>
      <c r="Z44" s="976"/>
      <c r="AA44" s="950"/>
      <c r="AB44" s="266"/>
      <c r="AC44" s="266"/>
      <c r="AD44" s="266"/>
      <c r="AE44" s="44"/>
      <c r="AF44" s="44"/>
      <c r="AG44" s="44"/>
      <c r="AH44" s="44"/>
      <c r="AI44" s="44"/>
      <c r="AJ44" s="44"/>
      <c r="AK44" s="44"/>
      <c r="AL44" s="44"/>
      <c r="AM44" s="44"/>
      <c r="AN44" s="44"/>
    </row>
    <row r="45" spans="1:40" ht="20.7" hidden="1" customHeight="1" outlineLevel="1" thickBot="1">
      <c r="A45" s="256"/>
      <c r="B45" s="256"/>
      <c r="C45" s="257"/>
      <c r="D45" s="256"/>
      <c r="E45" s="256"/>
      <c r="F45" s="256"/>
      <c r="G45" s="256"/>
      <c r="H45" s="256"/>
      <c r="I45" s="256"/>
      <c r="J45" s="333" t="s">
        <v>185</v>
      </c>
      <c r="K45" s="334"/>
      <c r="L45" s="324"/>
      <c r="M45" s="332">
        <f>Rentabilität!$J$23</f>
        <v>0</v>
      </c>
      <c r="N45" s="256"/>
      <c r="O45" s="256"/>
      <c r="P45" s="256"/>
      <c r="Q45" s="261"/>
      <c r="R45" s="261"/>
      <c r="S45" s="261"/>
      <c r="T45" s="261"/>
      <c r="U45" s="261"/>
      <c r="V45" s="261"/>
      <c r="W45" s="261"/>
      <c r="X45" s="261"/>
      <c r="Y45" s="261"/>
      <c r="Z45" s="976"/>
      <c r="AA45" s="950"/>
      <c r="AB45" s="266"/>
      <c r="AC45" s="266"/>
      <c r="AD45" s="266"/>
      <c r="AE45" s="44"/>
      <c r="AF45" s="44"/>
      <c r="AG45" s="44"/>
      <c r="AH45" s="44"/>
      <c r="AI45" s="44"/>
      <c r="AJ45" s="44"/>
      <c r="AK45" s="44"/>
      <c r="AL45" s="44"/>
      <c r="AM45" s="44"/>
      <c r="AN45" s="44"/>
    </row>
    <row r="46" spans="1:40" ht="20.7" hidden="1" customHeight="1" outlineLevel="1" thickTop="1">
      <c r="A46" s="256"/>
      <c r="B46" s="256"/>
      <c r="C46" s="257"/>
      <c r="D46" s="256"/>
      <c r="E46" s="256"/>
      <c r="F46" s="256"/>
      <c r="G46" s="256"/>
      <c r="H46" s="256"/>
      <c r="I46" s="256"/>
      <c r="J46" s="335" t="s">
        <v>184</v>
      </c>
      <c r="K46" s="336"/>
      <c r="L46" s="336"/>
      <c r="M46" s="337" t="str">
        <f>IF((M44-M45)&lt;0,0,IF(M43=0,"",(M44-M45)/M43))</f>
        <v/>
      </c>
      <c r="N46" s="256"/>
      <c r="O46" s="256"/>
      <c r="P46" s="256"/>
      <c r="Q46" s="261"/>
      <c r="R46" s="261"/>
      <c r="S46" s="261"/>
      <c r="T46" s="261"/>
      <c r="U46" s="261"/>
      <c r="V46" s="261"/>
      <c r="W46" s="261"/>
      <c r="X46" s="261"/>
      <c r="Y46" s="261"/>
      <c r="Z46" s="976"/>
      <c r="AA46" s="950"/>
      <c r="AB46" s="266"/>
      <c r="AC46" s="266"/>
      <c r="AD46" s="266"/>
      <c r="AE46" s="44"/>
      <c r="AF46" s="44"/>
      <c r="AG46" s="44"/>
      <c r="AH46" s="44"/>
      <c r="AI46" s="44"/>
      <c r="AJ46" s="44"/>
      <c r="AK46" s="44"/>
      <c r="AL46" s="44"/>
      <c r="AM46" s="44"/>
      <c r="AN46" s="44"/>
    </row>
    <row r="47" spans="1:40" ht="20.7" hidden="1" customHeight="1" outlineLevel="1" thickBot="1">
      <c r="A47" s="256"/>
      <c r="B47" s="256"/>
      <c r="C47" s="257"/>
      <c r="D47" s="256"/>
      <c r="E47" s="256"/>
      <c r="F47" s="256"/>
      <c r="G47" s="256"/>
      <c r="H47" s="256"/>
      <c r="I47" s="256"/>
      <c r="J47" s="338" t="s">
        <v>183</v>
      </c>
      <c r="K47" s="339"/>
      <c r="L47" s="340"/>
      <c r="M47" s="341"/>
      <c r="N47" s="256"/>
      <c r="O47" s="256"/>
      <c r="P47" s="256"/>
      <c r="Q47" s="261"/>
      <c r="R47" s="261"/>
      <c r="S47" s="261"/>
      <c r="T47" s="261"/>
      <c r="U47" s="261"/>
      <c r="V47" s="261"/>
      <c r="W47" s="261"/>
      <c r="X47" s="261"/>
      <c r="Y47" s="261"/>
      <c r="Z47" s="976"/>
      <c r="AA47" s="950"/>
      <c r="AB47" s="266"/>
      <c r="AC47" s="266"/>
      <c r="AD47" s="266"/>
      <c r="AE47" s="44"/>
      <c r="AF47" s="44"/>
      <c r="AG47" s="44"/>
      <c r="AH47" s="44"/>
      <c r="AI47" s="44"/>
      <c r="AJ47" s="44"/>
      <c r="AK47" s="44"/>
      <c r="AL47" s="44"/>
      <c r="AM47" s="44"/>
      <c r="AN47" s="44"/>
    </row>
    <row r="48" spans="1:40" ht="20.7" customHeight="1" collapsed="1" thickTop="1">
      <c r="A48" s="256"/>
      <c r="B48" s="256"/>
      <c r="C48" s="257"/>
      <c r="D48" s="256"/>
      <c r="E48" s="256"/>
      <c r="F48" s="256"/>
      <c r="G48" s="256"/>
      <c r="H48" s="256"/>
      <c r="I48" s="256"/>
      <c r="J48" s="256"/>
      <c r="K48" s="256"/>
      <c r="L48" s="256"/>
      <c r="M48" s="256"/>
      <c r="N48" s="256"/>
      <c r="O48" s="256"/>
      <c r="P48" s="256"/>
      <c r="Q48" s="261"/>
      <c r="R48" s="261"/>
      <c r="S48" s="261"/>
      <c r="T48" s="261"/>
      <c r="U48" s="261"/>
      <c r="V48" s="261"/>
      <c r="W48" s="261"/>
      <c r="X48" s="261"/>
      <c r="Y48" s="261"/>
      <c r="Z48" s="976"/>
      <c r="AA48" s="950"/>
      <c r="AB48" s="266"/>
      <c r="AC48" s="266"/>
      <c r="AD48" s="266"/>
      <c r="AE48" s="44"/>
      <c r="AF48" s="44"/>
      <c r="AG48" s="44"/>
      <c r="AH48" s="44"/>
      <c r="AI48" s="44"/>
      <c r="AJ48" s="44"/>
      <c r="AK48" s="44"/>
      <c r="AL48" s="44"/>
      <c r="AM48" s="44"/>
      <c r="AN48" s="44"/>
    </row>
    <row r="49" spans="1:40" ht="20.7" customHeight="1">
      <c r="A49" s="261"/>
      <c r="B49" s="261"/>
      <c r="C49" s="342"/>
      <c r="D49" s="261"/>
      <c r="E49" s="261"/>
      <c r="F49" s="261"/>
      <c r="G49" s="261"/>
      <c r="H49" s="261"/>
      <c r="I49" s="261"/>
      <c r="J49" s="261"/>
      <c r="K49" s="261"/>
      <c r="L49" s="261"/>
      <c r="M49" s="256"/>
      <c r="N49" s="256"/>
      <c r="O49" s="256"/>
      <c r="P49" s="256"/>
      <c r="Q49" s="261"/>
      <c r="R49" s="261"/>
      <c r="S49" s="261"/>
      <c r="T49" s="261"/>
      <c r="U49" s="261"/>
      <c r="V49" s="261"/>
      <c r="W49" s="261"/>
      <c r="X49" s="261"/>
      <c r="Y49" s="261"/>
      <c r="Z49" s="976"/>
      <c r="AA49" s="950"/>
      <c r="AB49" s="266"/>
      <c r="AC49" s="266"/>
      <c r="AD49" s="266"/>
      <c r="AE49" s="44"/>
      <c r="AF49" s="44"/>
      <c r="AG49" s="44"/>
      <c r="AH49" s="44"/>
      <c r="AI49" s="44"/>
      <c r="AJ49" s="44"/>
      <c r="AK49" s="44"/>
      <c r="AL49" s="44"/>
      <c r="AM49" s="44"/>
      <c r="AN49" s="44"/>
    </row>
    <row r="50" spans="1:40" ht="20.7" customHeight="1">
      <c r="A50" s="261"/>
      <c r="B50" s="261"/>
      <c r="C50" s="342"/>
      <c r="D50" s="261"/>
      <c r="E50" s="261"/>
      <c r="F50" s="261"/>
      <c r="G50" s="261"/>
      <c r="H50" s="261"/>
      <c r="I50" s="261"/>
      <c r="J50" s="261"/>
      <c r="K50" s="261"/>
      <c r="L50" s="261"/>
      <c r="M50" s="256"/>
      <c r="N50" s="256"/>
      <c r="O50" s="256"/>
      <c r="P50" s="256"/>
      <c r="Q50" s="261"/>
      <c r="R50" s="261"/>
      <c r="S50" s="261"/>
      <c r="T50" s="261"/>
      <c r="U50" s="261"/>
      <c r="V50" s="261"/>
      <c r="W50" s="261"/>
      <c r="X50" s="261"/>
      <c r="Y50" s="261"/>
      <c r="Z50" s="976"/>
      <c r="AA50" s="950"/>
      <c r="AB50" s="266"/>
      <c r="AC50" s="266"/>
      <c r="AD50" s="266"/>
      <c r="AE50" s="44"/>
      <c r="AF50" s="44"/>
      <c r="AG50" s="44"/>
      <c r="AH50" s="44"/>
      <c r="AI50" s="44"/>
      <c r="AJ50" s="44"/>
      <c r="AK50" s="44"/>
      <c r="AL50" s="44"/>
      <c r="AM50" s="44"/>
      <c r="AN50" s="44"/>
    </row>
    <row r="51" spans="1:40" ht="20.7" customHeight="1">
      <c r="A51" s="261"/>
      <c r="B51" s="261"/>
      <c r="C51" s="342"/>
      <c r="D51" s="261"/>
      <c r="E51" s="261"/>
      <c r="F51" s="261"/>
      <c r="G51" s="261"/>
      <c r="H51" s="261"/>
      <c r="I51" s="261"/>
      <c r="J51" s="261"/>
      <c r="K51" s="261"/>
      <c r="L51" s="261"/>
      <c r="M51" s="256"/>
      <c r="N51" s="256"/>
      <c r="O51" s="256"/>
      <c r="P51" s="256"/>
      <c r="Q51" s="261"/>
      <c r="R51" s="261"/>
      <c r="S51" s="261"/>
      <c r="T51" s="261"/>
      <c r="U51" s="261"/>
      <c r="V51" s="261"/>
      <c r="W51" s="261"/>
      <c r="X51" s="261"/>
      <c r="Y51" s="261"/>
      <c r="Z51" s="976"/>
      <c r="AA51" s="950"/>
      <c r="AB51" s="266"/>
      <c r="AC51" s="266"/>
      <c r="AD51" s="266"/>
      <c r="AE51" s="44"/>
      <c r="AF51" s="44"/>
      <c r="AG51" s="44"/>
      <c r="AH51" s="44"/>
      <c r="AI51" s="44"/>
      <c r="AJ51" s="44"/>
      <c r="AK51" s="44"/>
      <c r="AL51" s="44"/>
      <c r="AM51" s="44"/>
      <c r="AN51" s="44"/>
    </row>
    <row r="52" spans="1:40" ht="20.7" customHeight="1">
      <c r="A52" s="261"/>
      <c r="B52" s="261"/>
      <c r="C52" s="342"/>
      <c r="D52" s="261"/>
      <c r="E52" s="261"/>
      <c r="F52" s="261"/>
      <c r="G52" s="261"/>
      <c r="H52" s="261"/>
      <c r="I52" s="261"/>
      <c r="J52" s="261"/>
      <c r="K52" s="261"/>
      <c r="L52" s="261"/>
      <c r="M52" s="256"/>
      <c r="N52" s="256"/>
      <c r="O52" s="256"/>
      <c r="P52" s="256"/>
      <c r="Q52" s="261"/>
      <c r="R52" s="261"/>
      <c r="S52" s="261"/>
      <c r="T52" s="261"/>
      <c r="U52" s="261"/>
      <c r="V52" s="261"/>
      <c r="W52" s="261"/>
      <c r="X52" s="261"/>
      <c r="Y52" s="261"/>
      <c r="Z52" s="976"/>
      <c r="AA52" s="950"/>
      <c r="AB52" s="266"/>
      <c r="AC52" s="266"/>
      <c r="AD52" s="266"/>
      <c r="AE52" s="44"/>
      <c r="AF52" s="44"/>
      <c r="AG52" s="44"/>
      <c r="AH52" s="44"/>
      <c r="AI52" s="44"/>
      <c r="AJ52" s="44"/>
      <c r="AK52" s="44"/>
      <c r="AL52" s="44"/>
      <c r="AM52" s="44"/>
      <c r="AN52" s="44"/>
    </row>
    <row r="53" spans="1:40" ht="20.7" customHeight="1">
      <c r="A53" s="261"/>
      <c r="B53" s="261"/>
      <c r="C53" s="342"/>
      <c r="D53" s="261"/>
      <c r="E53" s="261"/>
      <c r="F53" s="261"/>
      <c r="G53" s="261"/>
      <c r="H53" s="261"/>
      <c r="I53" s="261"/>
      <c r="J53" s="261"/>
      <c r="K53" s="261"/>
      <c r="L53" s="261"/>
      <c r="M53" s="256"/>
      <c r="N53" s="256"/>
      <c r="O53" s="256"/>
      <c r="P53" s="256"/>
      <c r="Q53" s="261"/>
      <c r="R53" s="261"/>
      <c r="S53" s="261"/>
      <c r="T53" s="261"/>
      <c r="U53" s="261"/>
      <c r="V53" s="261"/>
      <c r="W53" s="261"/>
      <c r="X53" s="261"/>
      <c r="Y53" s="261"/>
      <c r="Z53" s="976"/>
      <c r="AA53" s="950"/>
      <c r="AB53" s="266"/>
      <c r="AC53" s="266"/>
      <c r="AD53" s="266"/>
      <c r="AE53" s="44"/>
      <c r="AF53" s="44"/>
      <c r="AG53" s="44"/>
      <c r="AH53" s="44"/>
      <c r="AI53" s="44"/>
      <c r="AJ53" s="44"/>
      <c r="AK53" s="44"/>
      <c r="AL53" s="44"/>
      <c r="AM53" s="44"/>
      <c r="AN53" s="44"/>
    </row>
    <row r="54" spans="1:40" ht="20.7" customHeight="1">
      <c r="A54" s="261"/>
      <c r="B54" s="261"/>
      <c r="C54" s="342"/>
      <c r="D54" s="261"/>
      <c r="E54" s="261"/>
      <c r="F54" s="261"/>
      <c r="G54" s="261"/>
      <c r="H54" s="261"/>
      <c r="I54" s="261"/>
      <c r="J54" s="261"/>
      <c r="K54" s="261"/>
      <c r="L54" s="261"/>
      <c r="M54" s="256"/>
      <c r="N54" s="256"/>
      <c r="O54" s="256"/>
      <c r="P54" s="256"/>
      <c r="Q54" s="261"/>
      <c r="R54" s="261"/>
      <c r="S54" s="261"/>
      <c r="T54" s="261"/>
      <c r="U54" s="261"/>
      <c r="V54" s="261"/>
      <c r="W54" s="261"/>
      <c r="X54" s="261"/>
      <c r="Y54" s="261"/>
      <c r="Z54" s="976"/>
      <c r="AA54" s="950"/>
      <c r="AB54" s="266"/>
      <c r="AC54" s="266"/>
      <c r="AD54" s="266"/>
      <c r="AE54" s="44"/>
      <c r="AF54" s="44"/>
      <c r="AG54" s="44"/>
      <c r="AH54" s="44"/>
      <c r="AI54" s="44"/>
      <c r="AJ54" s="44"/>
      <c r="AK54" s="44"/>
      <c r="AL54" s="44"/>
      <c r="AM54" s="44"/>
      <c r="AN54" s="44"/>
    </row>
    <row r="55" spans="1:40">
      <c r="A55" s="261"/>
      <c r="B55" s="261"/>
      <c r="C55" s="342"/>
      <c r="D55" s="261"/>
      <c r="E55" s="261"/>
      <c r="F55" s="261"/>
      <c r="G55" s="261"/>
      <c r="H55" s="261"/>
      <c r="I55" s="261"/>
      <c r="J55" s="261"/>
      <c r="K55" s="261"/>
      <c r="L55" s="261"/>
      <c r="M55" s="256"/>
      <c r="N55" s="256"/>
      <c r="O55" s="256"/>
      <c r="P55" s="256"/>
      <c r="Q55" s="261"/>
      <c r="R55" s="261"/>
      <c r="S55" s="261"/>
      <c r="T55" s="261"/>
      <c r="U55" s="261"/>
      <c r="V55" s="261"/>
      <c r="W55" s="261"/>
      <c r="X55" s="261"/>
      <c r="Y55" s="261"/>
      <c r="Z55" s="976"/>
      <c r="AA55" s="950"/>
      <c r="AB55" s="266"/>
      <c r="AC55" s="266"/>
      <c r="AD55" s="266"/>
      <c r="AE55" s="44"/>
      <c r="AF55" s="44"/>
      <c r="AG55" s="44"/>
      <c r="AH55" s="44"/>
      <c r="AI55" s="44"/>
      <c r="AJ55" s="44"/>
      <c r="AK55" s="44"/>
      <c r="AL55" s="44"/>
      <c r="AM55" s="44"/>
      <c r="AN55" s="44"/>
    </row>
    <row r="56" spans="1:40">
      <c r="A56" s="261"/>
      <c r="B56" s="261"/>
      <c r="C56" s="342"/>
      <c r="D56" s="261"/>
      <c r="E56" s="261"/>
      <c r="F56" s="261"/>
      <c r="G56" s="261"/>
      <c r="H56" s="261"/>
      <c r="I56" s="261"/>
      <c r="J56" s="261"/>
      <c r="K56" s="261"/>
      <c r="L56" s="261"/>
      <c r="M56" s="256"/>
      <c r="N56" s="256"/>
      <c r="O56" s="256"/>
      <c r="P56" s="256"/>
      <c r="Q56" s="261"/>
      <c r="R56" s="261"/>
      <c r="S56" s="261"/>
      <c r="T56" s="261"/>
      <c r="U56" s="261"/>
      <c r="V56" s="261"/>
      <c r="W56" s="261"/>
      <c r="X56" s="261"/>
      <c r="Y56" s="261"/>
      <c r="Z56" s="976"/>
      <c r="AA56" s="950"/>
      <c r="AB56" s="266"/>
      <c r="AC56" s="266"/>
      <c r="AD56" s="266"/>
      <c r="AE56" s="44"/>
      <c r="AF56" s="44"/>
      <c r="AG56" s="44"/>
      <c r="AH56" s="44"/>
      <c r="AI56" s="44"/>
      <c r="AJ56" s="44"/>
      <c r="AK56" s="44"/>
      <c r="AL56" s="44"/>
      <c r="AM56" s="44"/>
      <c r="AN56" s="44"/>
    </row>
    <row r="57" spans="1:40">
      <c r="A57" s="261"/>
      <c r="B57" s="261"/>
      <c r="C57" s="342"/>
      <c r="D57" s="261"/>
      <c r="E57" s="261"/>
      <c r="F57" s="261"/>
      <c r="G57" s="261"/>
      <c r="H57" s="261"/>
      <c r="I57" s="261"/>
      <c r="J57" s="261"/>
      <c r="K57" s="261"/>
      <c r="L57" s="261"/>
      <c r="M57" s="256"/>
      <c r="N57" s="256"/>
      <c r="O57" s="256"/>
      <c r="P57" s="256"/>
      <c r="Q57" s="261"/>
      <c r="R57" s="261"/>
      <c r="S57" s="261"/>
      <c r="T57" s="261"/>
      <c r="U57" s="261"/>
      <c r="V57" s="261"/>
      <c r="W57" s="261"/>
      <c r="X57" s="261"/>
      <c r="Y57" s="261"/>
      <c r="Z57" s="976"/>
      <c r="AA57" s="950"/>
      <c r="AB57" s="266"/>
      <c r="AC57" s="266"/>
      <c r="AD57" s="266"/>
      <c r="AE57" s="44"/>
      <c r="AF57" s="44"/>
      <c r="AG57" s="44"/>
      <c r="AH57" s="44"/>
      <c r="AI57" s="44"/>
      <c r="AJ57" s="44"/>
      <c r="AK57" s="44"/>
      <c r="AL57" s="44"/>
      <c r="AM57" s="44"/>
      <c r="AN57" s="44"/>
    </row>
    <row r="58" spans="1:40">
      <c r="A58" s="261"/>
      <c r="B58" s="261"/>
      <c r="C58" s="342"/>
      <c r="D58" s="261"/>
      <c r="E58" s="261"/>
      <c r="F58" s="261"/>
      <c r="G58" s="261"/>
      <c r="H58" s="261"/>
      <c r="I58" s="261"/>
      <c r="J58" s="261"/>
      <c r="K58" s="261"/>
      <c r="L58" s="261"/>
      <c r="M58" s="256"/>
      <c r="N58" s="256"/>
      <c r="O58" s="256"/>
      <c r="P58" s="256"/>
      <c r="Q58" s="261"/>
      <c r="R58" s="261"/>
      <c r="S58" s="261"/>
      <c r="T58" s="261"/>
      <c r="U58" s="261"/>
      <c r="V58" s="261"/>
      <c r="W58" s="261"/>
      <c r="X58" s="261"/>
      <c r="Y58" s="261"/>
      <c r="Z58" s="976"/>
      <c r="AA58" s="950"/>
      <c r="AB58" s="266"/>
      <c r="AC58" s="266"/>
      <c r="AD58" s="266"/>
      <c r="AE58" s="44"/>
      <c r="AF58" s="44"/>
      <c r="AG58" s="44"/>
      <c r="AH58" s="44"/>
      <c r="AI58" s="44"/>
      <c r="AJ58" s="44"/>
      <c r="AK58" s="44"/>
      <c r="AL58" s="44"/>
      <c r="AM58" s="44"/>
      <c r="AN58" s="44"/>
    </row>
    <row r="59" spans="1:40">
      <c r="A59" s="261"/>
      <c r="B59" s="261"/>
      <c r="C59" s="342"/>
      <c r="D59" s="261"/>
      <c r="E59" s="261"/>
      <c r="F59" s="261"/>
      <c r="G59" s="261"/>
      <c r="H59" s="261"/>
      <c r="I59" s="261"/>
      <c r="J59" s="261"/>
      <c r="K59" s="261"/>
      <c r="L59" s="261"/>
      <c r="M59" s="256"/>
      <c r="N59" s="256"/>
      <c r="O59" s="256"/>
      <c r="P59" s="256"/>
      <c r="Q59" s="261"/>
      <c r="R59" s="261"/>
      <c r="S59" s="261"/>
      <c r="T59" s="261"/>
      <c r="U59" s="261"/>
      <c r="V59" s="261"/>
      <c r="W59" s="261"/>
      <c r="X59" s="261"/>
      <c r="Y59" s="261"/>
      <c r="Z59" s="976"/>
      <c r="AA59" s="950"/>
      <c r="AB59" s="266"/>
      <c r="AC59" s="266"/>
      <c r="AD59" s="266"/>
      <c r="AE59" s="44"/>
      <c r="AF59" s="44"/>
      <c r="AG59" s="44"/>
      <c r="AH59" s="44"/>
      <c r="AI59" s="44"/>
      <c r="AJ59" s="44"/>
      <c r="AK59" s="44"/>
      <c r="AL59" s="44"/>
      <c r="AM59" s="44"/>
      <c r="AN59" s="44"/>
    </row>
    <row r="60" spans="1:40">
      <c r="A60" s="261"/>
      <c r="B60" s="261"/>
      <c r="C60" s="342"/>
      <c r="D60" s="261"/>
      <c r="E60" s="261"/>
      <c r="F60" s="261"/>
      <c r="G60" s="261"/>
      <c r="H60" s="261"/>
      <c r="I60" s="261"/>
      <c r="J60" s="261"/>
      <c r="K60" s="261"/>
      <c r="L60" s="261"/>
      <c r="M60" s="256"/>
      <c r="N60" s="256"/>
      <c r="O60" s="256"/>
      <c r="P60" s="256"/>
      <c r="Q60" s="261"/>
      <c r="R60" s="261"/>
      <c r="S60" s="261"/>
      <c r="T60" s="261"/>
      <c r="U60" s="261"/>
      <c r="V60" s="261"/>
      <c r="W60" s="261"/>
      <c r="X60" s="261"/>
      <c r="Y60" s="261"/>
      <c r="Z60" s="976"/>
      <c r="AA60" s="950"/>
      <c r="AB60" s="266"/>
      <c r="AC60" s="266"/>
      <c r="AD60" s="266"/>
      <c r="AE60" s="44"/>
      <c r="AF60" s="44"/>
      <c r="AG60" s="44"/>
      <c r="AH60" s="44"/>
      <c r="AI60" s="44"/>
      <c r="AJ60" s="44"/>
      <c r="AK60" s="44"/>
      <c r="AL60" s="44"/>
      <c r="AM60" s="44"/>
      <c r="AN60" s="44"/>
    </row>
    <row r="61" spans="1:40">
      <c r="A61" s="261"/>
      <c r="B61" s="261"/>
      <c r="C61" s="342"/>
      <c r="D61" s="261"/>
      <c r="E61" s="261"/>
      <c r="F61" s="261"/>
      <c r="G61" s="261"/>
      <c r="H61" s="261"/>
      <c r="I61" s="261"/>
      <c r="J61" s="261"/>
      <c r="K61" s="261"/>
      <c r="L61" s="261"/>
      <c r="M61" s="256"/>
      <c r="N61" s="256"/>
      <c r="O61" s="256"/>
      <c r="P61" s="256"/>
      <c r="Q61" s="261"/>
      <c r="R61" s="261"/>
      <c r="S61" s="261"/>
      <c r="T61" s="261"/>
      <c r="U61" s="261"/>
      <c r="V61" s="261"/>
      <c r="W61" s="261"/>
      <c r="X61" s="261"/>
      <c r="Y61" s="261"/>
      <c r="Z61" s="976"/>
      <c r="AA61" s="950"/>
      <c r="AB61" s="266"/>
      <c r="AC61" s="266"/>
      <c r="AD61" s="266"/>
      <c r="AE61" s="44"/>
      <c r="AF61" s="44"/>
      <c r="AG61" s="44"/>
      <c r="AH61" s="44"/>
      <c r="AI61" s="44"/>
      <c r="AJ61" s="44"/>
      <c r="AK61" s="44"/>
      <c r="AL61" s="44"/>
      <c r="AM61" s="44"/>
      <c r="AN61" s="44"/>
    </row>
    <row r="62" spans="1:40">
      <c r="A62" s="261"/>
      <c r="B62" s="261"/>
      <c r="C62" s="342"/>
      <c r="D62" s="261"/>
      <c r="E62" s="261"/>
      <c r="F62" s="261"/>
      <c r="G62" s="261"/>
      <c r="H62" s="261"/>
      <c r="I62" s="261"/>
      <c r="J62" s="261"/>
      <c r="K62" s="261"/>
      <c r="L62" s="261"/>
      <c r="M62" s="256"/>
      <c r="N62" s="256"/>
      <c r="O62" s="256"/>
      <c r="P62" s="256"/>
      <c r="Q62" s="261"/>
      <c r="R62" s="261"/>
      <c r="S62" s="261"/>
      <c r="T62" s="261"/>
      <c r="U62" s="261"/>
      <c r="V62" s="261"/>
      <c r="W62" s="261"/>
      <c r="X62" s="261"/>
      <c r="Y62" s="261"/>
      <c r="Z62" s="976"/>
      <c r="AA62" s="950"/>
      <c r="AB62" s="266"/>
      <c r="AC62" s="266"/>
      <c r="AD62" s="266"/>
      <c r="AE62" s="44"/>
      <c r="AF62" s="44"/>
      <c r="AG62" s="44"/>
      <c r="AH62" s="44"/>
      <c r="AI62" s="44"/>
      <c r="AJ62" s="44"/>
      <c r="AK62" s="44"/>
      <c r="AL62" s="44"/>
      <c r="AM62" s="44"/>
      <c r="AN62" s="44"/>
    </row>
    <row r="63" spans="1:40">
      <c r="A63" s="261"/>
      <c r="B63" s="261"/>
      <c r="C63" s="342"/>
      <c r="D63" s="261"/>
      <c r="E63" s="261"/>
      <c r="F63" s="261"/>
      <c r="G63" s="261"/>
      <c r="H63" s="261"/>
      <c r="I63" s="261"/>
      <c r="J63" s="261"/>
      <c r="K63" s="261"/>
      <c r="L63" s="261"/>
      <c r="M63" s="256"/>
      <c r="N63" s="256"/>
      <c r="O63" s="256"/>
      <c r="P63" s="256"/>
      <c r="Q63" s="261"/>
      <c r="R63" s="261"/>
      <c r="S63" s="261"/>
      <c r="T63" s="261"/>
      <c r="U63" s="261"/>
      <c r="V63" s="261"/>
      <c r="W63" s="261"/>
      <c r="X63" s="261"/>
      <c r="Y63" s="261"/>
      <c r="Z63" s="976"/>
      <c r="AA63" s="950"/>
      <c r="AB63" s="266"/>
      <c r="AC63" s="266"/>
      <c r="AD63" s="266"/>
      <c r="AE63" s="44"/>
      <c r="AF63" s="44"/>
      <c r="AG63" s="44"/>
      <c r="AH63" s="44"/>
      <c r="AI63" s="44"/>
      <c r="AJ63" s="44"/>
      <c r="AK63" s="44"/>
      <c r="AL63" s="44"/>
      <c r="AM63" s="44"/>
      <c r="AN63" s="44"/>
    </row>
    <row r="64" spans="1:40">
      <c r="A64" s="261"/>
      <c r="B64" s="261"/>
      <c r="C64" s="342"/>
      <c r="D64" s="261"/>
      <c r="E64" s="261"/>
      <c r="F64" s="261"/>
      <c r="G64" s="261"/>
      <c r="H64" s="261"/>
      <c r="I64" s="261"/>
      <c r="J64" s="261"/>
      <c r="K64" s="261"/>
      <c r="L64" s="261"/>
      <c r="M64" s="256"/>
      <c r="N64" s="256"/>
      <c r="O64" s="256"/>
      <c r="P64" s="256"/>
      <c r="Q64" s="261"/>
      <c r="R64" s="261"/>
      <c r="S64" s="261"/>
      <c r="T64" s="261"/>
      <c r="U64" s="261"/>
      <c r="V64" s="261"/>
      <c r="W64" s="261"/>
      <c r="X64" s="261"/>
      <c r="Y64" s="261"/>
      <c r="Z64" s="976"/>
      <c r="AA64" s="950"/>
      <c r="AB64" s="266"/>
      <c r="AC64" s="266"/>
      <c r="AD64" s="266"/>
      <c r="AE64" s="44"/>
      <c r="AF64" s="44"/>
      <c r="AG64" s="44"/>
      <c r="AH64" s="44"/>
      <c r="AI64" s="44"/>
      <c r="AJ64" s="44"/>
      <c r="AK64" s="44"/>
      <c r="AL64" s="44"/>
      <c r="AM64" s="44"/>
      <c r="AN64" s="44"/>
    </row>
    <row r="65" spans="1:40">
      <c r="A65" s="261"/>
      <c r="B65" s="261"/>
      <c r="C65" s="342"/>
      <c r="D65" s="261"/>
      <c r="E65" s="261"/>
      <c r="F65" s="261"/>
      <c r="G65" s="261"/>
      <c r="H65" s="261"/>
      <c r="I65" s="261"/>
      <c r="J65" s="261"/>
      <c r="K65" s="261"/>
      <c r="L65" s="261"/>
      <c r="M65" s="256"/>
      <c r="N65" s="256"/>
      <c r="O65" s="256"/>
      <c r="P65" s="256"/>
      <c r="Q65" s="261"/>
      <c r="R65" s="261"/>
      <c r="S65" s="261"/>
      <c r="T65" s="261"/>
      <c r="U65" s="261"/>
      <c r="V65" s="261"/>
      <c r="W65" s="261"/>
      <c r="X65" s="261"/>
      <c r="Y65" s="261"/>
      <c r="Z65" s="976"/>
      <c r="AA65" s="950"/>
      <c r="AB65" s="266"/>
      <c r="AC65" s="266"/>
      <c r="AD65" s="266"/>
      <c r="AE65" s="44"/>
      <c r="AF65" s="44"/>
      <c r="AG65" s="44"/>
      <c r="AH65" s="44"/>
      <c r="AI65" s="44"/>
      <c r="AJ65" s="44"/>
      <c r="AK65" s="44"/>
      <c r="AL65" s="44"/>
      <c r="AM65" s="44"/>
      <c r="AN65" s="44"/>
    </row>
    <row r="66" spans="1:40">
      <c r="A66" s="261"/>
      <c r="B66" s="261"/>
      <c r="C66" s="342"/>
      <c r="D66" s="261"/>
      <c r="E66" s="261"/>
      <c r="F66" s="261"/>
      <c r="G66" s="261"/>
      <c r="H66" s="261"/>
      <c r="I66" s="261"/>
      <c r="J66" s="261"/>
      <c r="K66" s="261"/>
      <c r="L66" s="261"/>
      <c r="M66" s="256"/>
      <c r="N66" s="256"/>
      <c r="O66" s="256"/>
      <c r="P66" s="256"/>
      <c r="Q66" s="261"/>
      <c r="R66" s="261"/>
      <c r="S66" s="261"/>
      <c r="T66" s="261"/>
      <c r="U66" s="261"/>
      <c r="V66" s="261"/>
      <c r="W66" s="261"/>
      <c r="X66" s="261"/>
      <c r="Y66" s="261"/>
      <c r="Z66" s="976"/>
      <c r="AA66" s="950"/>
      <c r="AB66" s="266"/>
      <c r="AC66" s="266"/>
      <c r="AD66" s="266"/>
      <c r="AE66" s="44"/>
      <c r="AF66" s="44"/>
      <c r="AG66" s="44"/>
      <c r="AH66" s="44"/>
      <c r="AI66" s="44"/>
      <c r="AJ66" s="44"/>
      <c r="AK66" s="44"/>
      <c r="AL66" s="44"/>
      <c r="AM66" s="44"/>
      <c r="AN66" s="44"/>
    </row>
    <row r="67" spans="1:40">
      <c r="A67" s="261"/>
      <c r="B67" s="261"/>
      <c r="C67" s="342"/>
      <c r="D67" s="261"/>
      <c r="E67" s="261"/>
      <c r="F67" s="261"/>
      <c r="G67" s="261"/>
      <c r="H67" s="261"/>
      <c r="I67" s="261"/>
      <c r="J67" s="261"/>
      <c r="K67" s="261"/>
      <c r="L67" s="261"/>
      <c r="M67" s="256"/>
      <c r="N67" s="256"/>
      <c r="O67" s="256"/>
      <c r="P67" s="256"/>
      <c r="Q67" s="261"/>
      <c r="R67" s="261"/>
      <c r="S67" s="261"/>
      <c r="T67" s="261"/>
      <c r="U67" s="261"/>
      <c r="V67" s="261"/>
      <c r="W67" s="261"/>
      <c r="X67" s="261"/>
      <c r="Y67" s="261"/>
      <c r="Z67" s="976"/>
      <c r="AA67" s="950"/>
      <c r="AB67" s="266"/>
      <c r="AC67" s="266"/>
      <c r="AD67" s="266"/>
      <c r="AE67" s="44"/>
      <c r="AF67" s="44"/>
      <c r="AG67" s="44"/>
      <c r="AH67" s="44"/>
      <c r="AI67" s="44"/>
      <c r="AJ67" s="44"/>
      <c r="AK67" s="44"/>
      <c r="AL67" s="44"/>
      <c r="AM67" s="44"/>
      <c r="AN67" s="44"/>
    </row>
    <row r="68" spans="1:40">
      <c r="A68" s="261"/>
      <c r="B68" s="261"/>
      <c r="C68" s="342"/>
      <c r="D68" s="261"/>
      <c r="E68" s="261"/>
      <c r="F68" s="261"/>
      <c r="G68" s="261"/>
      <c r="H68" s="261"/>
      <c r="I68" s="261"/>
      <c r="J68" s="261"/>
      <c r="K68" s="261"/>
      <c r="L68" s="261"/>
      <c r="M68" s="256"/>
      <c r="N68" s="256"/>
      <c r="O68" s="256"/>
      <c r="P68" s="256"/>
      <c r="Q68" s="261"/>
      <c r="R68" s="261"/>
      <c r="S68" s="261"/>
      <c r="T68" s="261"/>
      <c r="U68" s="261"/>
      <c r="V68" s="261"/>
      <c r="W68" s="261"/>
      <c r="X68" s="261"/>
      <c r="Y68" s="261"/>
      <c r="Z68" s="976"/>
      <c r="AA68" s="950"/>
      <c r="AB68" s="266"/>
      <c r="AC68" s="266"/>
      <c r="AD68" s="266"/>
      <c r="AE68" s="44"/>
      <c r="AF68" s="44"/>
      <c r="AG68" s="44"/>
      <c r="AH68" s="44"/>
      <c r="AI68" s="44"/>
      <c r="AJ68" s="44"/>
      <c r="AK68" s="44"/>
      <c r="AL68" s="44"/>
      <c r="AM68" s="44"/>
      <c r="AN68" s="44"/>
    </row>
    <row r="69" spans="1:40">
      <c r="A69" s="261"/>
      <c r="B69" s="261"/>
      <c r="C69" s="342"/>
      <c r="D69" s="261"/>
      <c r="E69" s="261"/>
      <c r="F69" s="261"/>
      <c r="G69" s="261"/>
      <c r="H69" s="261"/>
      <c r="I69" s="261"/>
      <c r="J69" s="261"/>
      <c r="K69" s="261"/>
      <c r="L69" s="261"/>
      <c r="M69" s="256"/>
      <c r="N69" s="256"/>
      <c r="O69" s="256"/>
      <c r="P69" s="256"/>
      <c r="Q69" s="261"/>
      <c r="R69" s="261"/>
      <c r="S69" s="261"/>
      <c r="T69" s="261"/>
      <c r="U69" s="261"/>
      <c r="V69" s="261"/>
      <c r="W69" s="261"/>
      <c r="X69" s="261"/>
      <c r="Y69" s="261"/>
      <c r="Z69" s="976"/>
      <c r="AA69" s="950"/>
      <c r="AB69" s="266"/>
      <c r="AC69" s="266"/>
      <c r="AD69" s="266"/>
      <c r="AE69" s="44"/>
      <c r="AF69" s="44"/>
      <c r="AG69" s="44"/>
      <c r="AH69" s="44"/>
      <c r="AI69" s="44"/>
      <c r="AJ69" s="44"/>
      <c r="AK69" s="44"/>
      <c r="AL69" s="44"/>
      <c r="AM69" s="44"/>
      <c r="AN69" s="44"/>
    </row>
    <row r="70" spans="1:40">
      <c r="A70" s="261"/>
      <c r="B70" s="261"/>
      <c r="C70" s="342"/>
      <c r="D70" s="261"/>
      <c r="E70" s="261"/>
      <c r="F70" s="261"/>
      <c r="G70" s="261"/>
      <c r="H70" s="261"/>
      <c r="I70" s="261"/>
      <c r="J70" s="261"/>
      <c r="K70" s="261"/>
      <c r="L70" s="261"/>
      <c r="M70" s="256"/>
      <c r="N70" s="256"/>
      <c r="O70" s="256"/>
      <c r="P70" s="256"/>
      <c r="Q70" s="261"/>
      <c r="R70" s="261"/>
      <c r="S70" s="261"/>
      <c r="T70" s="261"/>
      <c r="U70" s="261"/>
      <c r="V70" s="261"/>
      <c r="W70" s="261"/>
      <c r="X70" s="261"/>
      <c r="Y70" s="261"/>
      <c r="Z70" s="976"/>
      <c r="AA70" s="950"/>
      <c r="AB70" s="266"/>
      <c r="AC70" s="266"/>
      <c r="AD70" s="266"/>
      <c r="AE70" s="44"/>
      <c r="AF70" s="44"/>
      <c r="AG70" s="44"/>
      <c r="AH70" s="44"/>
      <c r="AI70" s="44"/>
      <c r="AJ70" s="44"/>
      <c r="AK70" s="44"/>
      <c r="AL70" s="44"/>
      <c r="AM70" s="44"/>
      <c r="AN70" s="44"/>
    </row>
    <row r="71" spans="1:40">
      <c r="A71" s="261"/>
      <c r="B71" s="261"/>
      <c r="C71" s="342"/>
      <c r="D71" s="261"/>
      <c r="E71" s="261"/>
      <c r="F71" s="261"/>
      <c r="G71" s="261"/>
      <c r="H71" s="261"/>
      <c r="I71" s="261"/>
      <c r="J71" s="261"/>
      <c r="K71" s="261"/>
      <c r="L71" s="261"/>
      <c r="M71" s="256"/>
      <c r="N71" s="256"/>
      <c r="O71" s="256"/>
      <c r="P71" s="256"/>
      <c r="Q71" s="261"/>
      <c r="R71" s="261"/>
      <c r="S71" s="261"/>
      <c r="T71" s="261"/>
      <c r="U71" s="261"/>
      <c r="V71" s="261"/>
      <c r="W71" s="261"/>
      <c r="X71" s="261"/>
      <c r="Y71" s="261"/>
      <c r="Z71" s="976"/>
      <c r="AA71" s="950"/>
      <c r="AB71" s="266"/>
      <c r="AC71" s="266"/>
      <c r="AD71" s="266"/>
      <c r="AE71" s="44"/>
      <c r="AF71" s="44"/>
      <c r="AG71" s="44"/>
      <c r="AH71" s="44"/>
      <c r="AI71" s="44"/>
      <c r="AJ71" s="44"/>
      <c r="AK71" s="44"/>
      <c r="AL71" s="44"/>
      <c r="AM71" s="44"/>
      <c r="AN71" s="44"/>
    </row>
    <row r="72" spans="1:40">
      <c r="A72" s="261"/>
      <c r="B72" s="261"/>
      <c r="C72" s="342"/>
      <c r="D72" s="261"/>
      <c r="E72" s="261"/>
      <c r="F72" s="261"/>
      <c r="G72" s="261"/>
      <c r="H72" s="261"/>
      <c r="I72" s="261"/>
      <c r="J72" s="261"/>
      <c r="K72" s="261"/>
      <c r="L72" s="261"/>
      <c r="M72" s="256"/>
      <c r="N72" s="256"/>
      <c r="O72" s="256"/>
      <c r="P72" s="256"/>
      <c r="Q72" s="261"/>
      <c r="R72" s="261"/>
      <c r="S72" s="261"/>
      <c r="T72" s="261"/>
      <c r="U72" s="261"/>
      <c r="V72" s="261"/>
      <c r="W72" s="261"/>
      <c r="X72" s="261"/>
      <c r="Y72" s="261"/>
      <c r="Z72" s="976"/>
      <c r="AA72" s="950"/>
      <c r="AB72" s="266"/>
      <c r="AC72" s="266"/>
      <c r="AD72" s="266"/>
      <c r="AE72" s="44"/>
      <c r="AF72" s="44"/>
      <c r="AG72" s="44"/>
      <c r="AH72" s="44"/>
      <c r="AI72" s="44"/>
      <c r="AJ72" s="44"/>
      <c r="AK72" s="44"/>
      <c r="AL72" s="44"/>
      <c r="AM72" s="44"/>
      <c r="AN72" s="44"/>
    </row>
    <row r="73" spans="1:40">
      <c r="A73" s="261"/>
      <c r="B73" s="261"/>
      <c r="C73" s="342"/>
      <c r="D73" s="261"/>
      <c r="E73" s="261"/>
      <c r="F73" s="261"/>
      <c r="G73" s="261"/>
      <c r="H73" s="261"/>
      <c r="I73" s="261"/>
      <c r="J73" s="261"/>
      <c r="K73" s="261"/>
      <c r="L73" s="261"/>
      <c r="M73" s="256"/>
      <c r="N73" s="256"/>
      <c r="O73" s="256"/>
      <c r="P73" s="256"/>
      <c r="Q73" s="261"/>
      <c r="R73" s="261"/>
      <c r="S73" s="261"/>
      <c r="T73" s="261"/>
      <c r="U73" s="261"/>
      <c r="V73" s="261"/>
      <c r="W73" s="261"/>
      <c r="X73" s="261"/>
      <c r="Y73" s="261"/>
      <c r="Z73" s="976"/>
      <c r="AA73" s="950"/>
      <c r="AB73" s="266"/>
      <c r="AC73" s="266"/>
      <c r="AD73" s="266"/>
      <c r="AE73" s="44"/>
      <c r="AF73" s="44"/>
      <c r="AG73" s="44"/>
      <c r="AH73" s="44"/>
      <c r="AI73" s="44"/>
      <c r="AJ73" s="44"/>
      <c r="AK73" s="44"/>
      <c r="AL73" s="44"/>
      <c r="AM73" s="44"/>
      <c r="AN73" s="44"/>
    </row>
    <row r="74" spans="1:40">
      <c r="A74" s="261"/>
      <c r="B74" s="261"/>
      <c r="C74" s="342"/>
      <c r="D74" s="261"/>
      <c r="E74" s="261"/>
      <c r="F74" s="261"/>
      <c r="G74" s="261"/>
      <c r="H74" s="261"/>
      <c r="I74" s="261"/>
      <c r="J74" s="261"/>
      <c r="K74" s="261"/>
      <c r="L74" s="261"/>
      <c r="M74" s="256"/>
      <c r="N74" s="256"/>
      <c r="O74" s="256"/>
      <c r="P74" s="256"/>
      <c r="Q74" s="261"/>
      <c r="R74" s="261"/>
      <c r="S74" s="261"/>
      <c r="T74" s="261"/>
      <c r="U74" s="261"/>
      <c r="V74" s="261"/>
      <c r="W74" s="261"/>
      <c r="X74" s="261"/>
      <c r="Y74" s="261"/>
      <c r="Z74" s="976"/>
      <c r="AA74" s="950"/>
      <c r="AB74" s="266"/>
      <c r="AC74" s="266"/>
      <c r="AD74" s="266"/>
      <c r="AE74" s="44"/>
      <c r="AF74" s="44"/>
      <c r="AG74" s="44"/>
      <c r="AH74" s="44"/>
      <c r="AI74" s="44"/>
      <c r="AJ74" s="44"/>
      <c r="AK74" s="44"/>
      <c r="AL74" s="44"/>
      <c r="AM74" s="44"/>
      <c r="AN74" s="44"/>
    </row>
    <row r="75" spans="1:40">
      <c r="A75" s="261"/>
      <c r="B75" s="261"/>
      <c r="C75" s="342"/>
      <c r="D75" s="261"/>
      <c r="E75" s="261"/>
      <c r="F75" s="261"/>
      <c r="G75" s="261"/>
      <c r="H75" s="261"/>
      <c r="I75" s="261"/>
      <c r="J75" s="261"/>
      <c r="K75" s="261"/>
      <c r="L75" s="261"/>
      <c r="M75" s="256"/>
      <c r="N75" s="256"/>
      <c r="O75" s="256"/>
      <c r="P75" s="256"/>
      <c r="Q75" s="261"/>
      <c r="R75" s="261"/>
      <c r="S75" s="261"/>
      <c r="T75" s="261"/>
      <c r="U75" s="261"/>
      <c r="V75" s="261"/>
      <c r="W75" s="261"/>
      <c r="X75" s="261"/>
      <c r="Y75" s="261"/>
      <c r="Z75" s="976"/>
      <c r="AA75" s="950"/>
      <c r="AB75" s="266"/>
      <c r="AC75" s="266"/>
      <c r="AD75" s="266"/>
      <c r="AE75" s="44"/>
      <c r="AF75" s="44"/>
      <c r="AG75" s="44"/>
      <c r="AH75" s="44"/>
      <c r="AI75" s="44"/>
      <c r="AJ75" s="44"/>
      <c r="AK75" s="44"/>
      <c r="AL75" s="44"/>
      <c r="AM75" s="44"/>
      <c r="AN75" s="44"/>
    </row>
    <row r="76" spans="1:40">
      <c r="A76" s="261"/>
      <c r="B76" s="261"/>
      <c r="C76" s="342"/>
      <c r="D76" s="261"/>
      <c r="E76" s="261"/>
      <c r="F76" s="261"/>
      <c r="G76" s="261"/>
      <c r="H76" s="261"/>
      <c r="I76" s="261"/>
      <c r="J76" s="261"/>
      <c r="K76" s="261"/>
      <c r="L76" s="261"/>
      <c r="M76" s="256"/>
      <c r="N76" s="256"/>
      <c r="O76" s="256"/>
      <c r="P76" s="256"/>
      <c r="Q76" s="261"/>
      <c r="R76" s="261"/>
      <c r="S76" s="261"/>
      <c r="T76" s="261"/>
      <c r="U76" s="261"/>
      <c r="V76" s="261"/>
      <c r="W76" s="261"/>
      <c r="X76" s="261"/>
      <c r="Y76" s="261"/>
      <c r="Z76" s="976"/>
      <c r="AA76" s="950"/>
      <c r="AB76" s="266"/>
      <c r="AC76" s="266"/>
      <c r="AD76" s="266"/>
      <c r="AE76" s="44"/>
      <c r="AF76" s="44"/>
      <c r="AG76" s="44"/>
      <c r="AH76" s="44"/>
      <c r="AI76" s="44"/>
      <c r="AJ76" s="44"/>
      <c r="AK76" s="44"/>
      <c r="AL76" s="44"/>
      <c r="AM76" s="44"/>
      <c r="AN76" s="44"/>
    </row>
    <row r="77" spans="1:40">
      <c r="A77" s="261"/>
      <c r="B77" s="261"/>
      <c r="C77" s="342"/>
      <c r="D77" s="261"/>
      <c r="E77" s="261"/>
      <c r="F77" s="261"/>
      <c r="G77" s="261"/>
      <c r="H77" s="261"/>
      <c r="I77" s="261"/>
      <c r="J77" s="261"/>
      <c r="K77" s="261"/>
      <c r="L77" s="261"/>
      <c r="M77" s="256"/>
      <c r="N77" s="256"/>
      <c r="O77" s="256"/>
      <c r="P77" s="256"/>
      <c r="Q77" s="261"/>
      <c r="R77" s="261"/>
      <c r="S77" s="261"/>
      <c r="T77" s="261"/>
      <c r="U77" s="261"/>
      <c r="V77" s="261"/>
      <c r="W77" s="261"/>
      <c r="X77" s="261"/>
      <c r="Y77" s="261"/>
      <c r="Z77" s="976"/>
      <c r="AA77" s="950"/>
      <c r="AB77" s="266"/>
      <c r="AC77" s="266"/>
      <c r="AD77" s="266"/>
      <c r="AE77" s="44"/>
      <c r="AF77" s="44"/>
      <c r="AG77" s="44"/>
      <c r="AH77" s="44"/>
      <c r="AI77" s="44"/>
      <c r="AJ77" s="44"/>
      <c r="AK77" s="44"/>
      <c r="AL77" s="44"/>
      <c r="AM77" s="44"/>
      <c r="AN77" s="44"/>
    </row>
    <row r="78" spans="1:40">
      <c r="A78" s="261"/>
      <c r="B78" s="261"/>
      <c r="C78" s="342"/>
      <c r="D78" s="261"/>
      <c r="E78" s="261"/>
      <c r="F78" s="261"/>
      <c r="G78" s="261"/>
      <c r="H78" s="261"/>
      <c r="I78" s="261"/>
      <c r="J78" s="261"/>
      <c r="K78" s="261"/>
      <c r="L78" s="261"/>
      <c r="M78" s="256"/>
      <c r="N78" s="256"/>
      <c r="O78" s="256"/>
      <c r="P78" s="256"/>
      <c r="Q78" s="261"/>
      <c r="R78" s="261"/>
      <c r="S78" s="261"/>
      <c r="T78" s="261"/>
      <c r="U78" s="261"/>
      <c r="V78" s="261"/>
      <c r="W78" s="261"/>
      <c r="X78" s="261"/>
      <c r="Y78" s="261"/>
      <c r="Z78" s="976"/>
      <c r="AA78" s="950"/>
      <c r="AB78" s="266"/>
      <c r="AC78" s="266"/>
      <c r="AD78" s="266"/>
      <c r="AE78" s="44"/>
      <c r="AF78" s="44"/>
      <c r="AG78" s="44"/>
      <c r="AH78" s="44"/>
      <c r="AI78" s="44"/>
      <c r="AJ78" s="44"/>
      <c r="AK78" s="44"/>
      <c r="AL78" s="44"/>
      <c r="AM78" s="44"/>
      <c r="AN78" s="44"/>
    </row>
    <row r="79" spans="1:40">
      <c r="A79" s="261"/>
      <c r="B79" s="261"/>
      <c r="C79" s="342"/>
      <c r="D79" s="261"/>
      <c r="E79" s="261"/>
      <c r="F79" s="261"/>
      <c r="G79" s="261"/>
      <c r="H79" s="261"/>
      <c r="I79" s="261"/>
      <c r="J79" s="261"/>
      <c r="K79" s="261"/>
      <c r="L79" s="261"/>
      <c r="M79" s="256"/>
      <c r="N79" s="256"/>
      <c r="O79" s="256"/>
      <c r="P79" s="256"/>
      <c r="Q79" s="261"/>
      <c r="R79" s="261"/>
      <c r="S79" s="261"/>
      <c r="T79" s="261"/>
      <c r="U79" s="261"/>
      <c r="V79" s="261"/>
      <c r="W79" s="261"/>
      <c r="X79" s="261"/>
      <c r="Y79" s="261"/>
      <c r="Z79" s="976"/>
      <c r="AA79" s="950"/>
      <c r="AB79" s="266"/>
      <c r="AC79" s="266"/>
      <c r="AD79" s="266"/>
      <c r="AE79" s="44"/>
      <c r="AF79" s="44"/>
      <c r="AG79" s="44"/>
      <c r="AH79" s="44"/>
      <c r="AI79" s="44"/>
      <c r="AJ79" s="44"/>
      <c r="AK79" s="44"/>
      <c r="AL79" s="44"/>
      <c r="AM79" s="44"/>
      <c r="AN79" s="44"/>
    </row>
    <row r="80" spans="1:40">
      <c r="A80" s="261"/>
      <c r="B80" s="261"/>
      <c r="C80" s="342"/>
      <c r="D80" s="261"/>
      <c r="E80" s="261"/>
      <c r="F80" s="261"/>
      <c r="G80" s="261"/>
      <c r="H80" s="261"/>
      <c r="I80" s="261"/>
      <c r="J80" s="261"/>
      <c r="K80" s="261"/>
      <c r="L80" s="261"/>
      <c r="M80" s="256"/>
      <c r="N80" s="256"/>
      <c r="O80" s="256"/>
      <c r="P80" s="256"/>
      <c r="Q80" s="261"/>
      <c r="R80" s="261"/>
      <c r="S80" s="261"/>
      <c r="T80" s="261"/>
      <c r="U80" s="261"/>
      <c r="V80" s="261"/>
      <c r="W80" s="261"/>
      <c r="X80" s="261"/>
      <c r="Y80" s="261"/>
      <c r="Z80" s="976"/>
      <c r="AA80" s="950"/>
      <c r="AB80" s="266"/>
      <c r="AC80" s="266"/>
      <c r="AD80" s="266"/>
      <c r="AE80" s="44"/>
      <c r="AF80" s="44"/>
      <c r="AG80" s="44"/>
      <c r="AH80" s="44"/>
      <c r="AI80" s="44"/>
      <c r="AJ80" s="44"/>
      <c r="AK80" s="44"/>
      <c r="AL80" s="44"/>
      <c r="AM80" s="44"/>
      <c r="AN80" s="44"/>
    </row>
    <row r="81" spans="1:40">
      <c r="A81" s="261"/>
      <c r="B81" s="261"/>
      <c r="C81" s="342"/>
      <c r="D81" s="261"/>
      <c r="E81" s="261"/>
      <c r="F81" s="261"/>
      <c r="G81" s="261"/>
      <c r="H81" s="261"/>
      <c r="I81" s="261"/>
      <c r="J81" s="261"/>
      <c r="K81" s="261"/>
      <c r="L81" s="261"/>
      <c r="M81" s="256"/>
      <c r="N81" s="256"/>
      <c r="O81" s="256"/>
      <c r="P81" s="256"/>
      <c r="Q81" s="261"/>
      <c r="R81" s="261"/>
      <c r="S81" s="261"/>
      <c r="T81" s="261"/>
      <c r="U81" s="261"/>
      <c r="V81" s="261"/>
      <c r="W81" s="261"/>
      <c r="X81" s="261"/>
      <c r="Y81" s="261"/>
      <c r="Z81" s="976"/>
      <c r="AA81" s="950"/>
      <c r="AB81" s="266"/>
      <c r="AC81" s="266"/>
      <c r="AD81" s="266"/>
      <c r="AE81" s="44"/>
      <c r="AF81" s="44"/>
      <c r="AG81" s="44"/>
      <c r="AH81" s="44"/>
      <c r="AI81" s="44"/>
      <c r="AJ81" s="44"/>
      <c r="AK81" s="44"/>
      <c r="AL81" s="44"/>
      <c r="AM81" s="44"/>
      <c r="AN81" s="44"/>
    </row>
    <row r="82" spans="1:40">
      <c r="A82" s="261"/>
      <c r="B82" s="261"/>
      <c r="C82" s="342"/>
      <c r="D82" s="261"/>
      <c r="E82" s="261"/>
      <c r="F82" s="261"/>
      <c r="G82" s="261"/>
      <c r="H82" s="261"/>
      <c r="I82" s="261"/>
      <c r="J82" s="261"/>
      <c r="K82" s="261"/>
      <c r="L82" s="261"/>
      <c r="M82" s="256"/>
      <c r="N82" s="256"/>
      <c r="O82" s="256"/>
      <c r="P82" s="256"/>
      <c r="Q82" s="261"/>
      <c r="R82" s="261"/>
      <c r="S82" s="261"/>
      <c r="T82" s="261"/>
      <c r="U82" s="261"/>
      <c r="V82" s="261"/>
      <c r="W82" s="261"/>
      <c r="X82" s="261"/>
      <c r="Y82" s="261"/>
      <c r="Z82" s="976"/>
      <c r="AA82" s="950"/>
      <c r="AB82" s="266"/>
      <c r="AC82" s="266"/>
      <c r="AD82" s="266"/>
      <c r="AE82" s="44"/>
      <c r="AF82" s="44"/>
      <c r="AG82" s="44"/>
      <c r="AH82" s="44"/>
      <c r="AI82" s="44"/>
      <c r="AJ82" s="44"/>
      <c r="AK82" s="44"/>
      <c r="AL82" s="44"/>
      <c r="AM82" s="44"/>
      <c r="AN82" s="44"/>
    </row>
    <row r="83" spans="1:40">
      <c r="A83" s="261"/>
      <c r="B83" s="261"/>
      <c r="C83" s="342"/>
      <c r="D83" s="261"/>
      <c r="E83" s="261"/>
      <c r="F83" s="261"/>
      <c r="G83" s="261"/>
      <c r="H83" s="261"/>
      <c r="I83" s="261"/>
      <c r="J83" s="261"/>
      <c r="K83" s="261"/>
      <c r="L83" s="261"/>
      <c r="M83" s="256"/>
      <c r="N83" s="256"/>
      <c r="O83" s="256"/>
      <c r="P83" s="256"/>
      <c r="Q83" s="261"/>
      <c r="R83" s="261"/>
      <c r="S83" s="261"/>
      <c r="T83" s="261"/>
      <c r="U83" s="261"/>
      <c r="V83" s="261"/>
      <c r="W83" s="261"/>
      <c r="X83" s="261"/>
      <c r="Y83" s="261"/>
      <c r="Z83" s="976"/>
      <c r="AA83" s="950"/>
      <c r="AB83" s="266"/>
      <c r="AC83" s="266"/>
      <c r="AD83" s="266"/>
      <c r="AE83" s="44"/>
      <c r="AF83" s="44"/>
      <c r="AG83" s="44"/>
      <c r="AH83" s="44"/>
      <c r="AI83" s="44"/>
      <c r="AJ83" s="44"/>
      <c r="AK83" s="44"/>
      <c r="AL83" s="44"/>
      <c r="AM83" s="44"/>
      <c r="AN83" s="44"/>
    </row>
    <row r="84" spans="1:40">
      <c r="A84" s="261"/>
      <c r="B84" s="261"/>
      <c r="C84" s="342"/>
      <c r="D84" s="261"/>
      <c r="E84" s="261"/>
      <c r="F84" s="261"/>
      <c r="G84" s="261"/>
      <c r="H84" s="261"/>
      <c r="I84" s="261"/>
      <c r="J84" s="261"/>
      <c r="K84" s="261"/>
      <c r="L84" s="261"/>
      <c r="M84" s="256"/>
      <c r="N84" s="256"/>
      <c r="O84" s="256"/>
      <c r="P84" s="256"/>
      <c r="Q84" s="261"/>
      <c r="R84" s="261"/>
      <c r="S84" s="261"/>
      <c r="T84" s="261"/>
      <c r="U84" s="261"/>
      <c r="V84" s="261"/>
      <c r="W84" s="261"/>
      <c r="X84" s="261"/>
      <c r="Y84" s="261"/>
      <c r="Z84" s="976"/>
      <c r="AA84" s="950"/>
      <c r="AB84" s="266"/>
      <c r="AC84" s="266"/>
      <c r="AD84" s="266"/>
      <c r="AE84" s="44"/>
      <c r="AF84" s="44"/>
      <c r="AG84" s="44"/>
      <c r="AH84" s="44"/>
      <c r="AI84" s="44"/>
      <c r="AJ84" s="44"/>
      <c r="AK84" s="44"/>
      <c r="AL84" s="44"/>
      <c r="AM84" s="44"/>
      <c r="AN84" s="44"/>
    </row>
    <row r="85" spans="1:40">
      <c r="A85" s="261"/>
      <c r="B85" s="261"/>
      <c r="C85" s="342"/>
      <c r="D85" s="261"/>
      <c r="E85" s="261"/>
      <c r="F85" s="261"/>
      <c r="G85" s="261"/>
      <c r="H85" s="261"/>
      <c r="I85" s="261"/>
      <c r="J85" s="261"/>
      <c r="K85" s="261"/>
      <c r="L85" s="261"/>
      <c r="M85" s="256"/>
      <c r="N85" s="256"/>
      <c r="O85" s="256"/>
      <c r="P85" s="256"/>
      <c r="Q85" s="261"/>
      <c r="R85" s="261"/>
      <c r="S85" s="261"/>
      <c r="T85" s="261"/>
      <c r="U85" s="261"/>
      <c r="V85" s="261"/>
      <c r="W85" s="261"/>
      <c r="X85" s="261"/>
      <c r="Y85" s="261"/>
      <c r="Z85" s="976"/>
      <c r="AA85" s="950"/>
      <c r="AB85" s="266"/>
      <c r="AC85" s="266"/>
      <c r="AD85" s="266"/>
      <c r="AE85" s="44"/>
      <c r="AF85" s="44"/>
      <c r="AG85" s="44"/>
      <c r="AH85" s="44"/>
      <c r="AI85" s="44"/>
      <c r="AJ85" s="44"/>
      <c r="AK85" s="44"/>
      <c r="AL85" s="44"/>
      <c r="AM85" s="44"/>
      <c r="AN85" s="44"/>
    </row>
    <row r="86" spans="1:40">
      <c r="A86" s="261"/>
      <c r="B86" s="261"/>
      <c r="C86" s="342"/>
      <c r="D86" s="261"/>
      <c r="E86" s="261"/>
      <c r="F86" s="261"/>
      <c r="G86" s="261"/>
      <c r="H86" s="261"/>
      <c r="I86" s="261"/>
      <c r="J86" s="261"/>
      <c r="K86" s="261"/>
      <c r="L86" s="261"/>
      <c r="M86" s="256"/>
      <c r="N86" s="256"/>
      <c r="O86" s="256"/>
      <c r="P86" s="256"/>
      <c r="Q86" s="261"/>
      <c r="R86" s="261"/>
      <c r="S86" s="261"/>
      <c r="T86" s="261"/>
      <c r="U86" s="261"/>
      <c r="V86" s="261"/>
      <c r="W86" s="261"/>
      <c r="X86" s="261"/>
      <c r="Y86" s="261"/>
      <c r="Z86" s="976"/>
      <c r="AA86" s="950"/>
      <c r="AB86" s="266"/>
      <c r="AC86" s="266"/>
      <c r="AD86" s="266"/>
      <c r="AE86" s="44"/>
      <c r="AF86" s="44"/>
      <c r="AG86" s="44"/>
      <c r="AH86" s="44"/>
      <c r="AI86" s="44"/>
      <c r="AJ86" s="44"/>
      <c r="AK86" s="44"/>
      <c r="AL86" s="44"/>
      <c r="AM86" s="44"/>
      <c r="AN86" s="44"/>
    </row>
    <row r="87" spans="1:40">
      <c r="A87" s="261"/>
      <c r="B87" s="261"/>
      <c r="C87" s="342"/>
      <c r="D87" s="261"/>
      <c r="E87" s="261"/>
      <c r="F87" s="261"/>
      <c r="G87" s="261"/>
      <c r="H87" s="261"/>
      <c r="I87" s="261"/>
      <c r="J87" s="261"/>
      <c r="K87" s="261"/>
      <c r="L87" s="261"/>
      <c r="M87" s="256"/>
      <c r="N87" s="256"/>
      <c r="O87" s="256"/>
      <c r="P87" s="256"/>
      <c r="Q87" s="261"/>
      <c r="R87" s="261"/>
      <c r="S87" s="261"/>
      <c r="T87" s="261"/>
      <c r="U87" s="261"/>
      <c r="V87" s="261"/>
      <c r="W87" s="261"/>
      <c r="X87" s="261"/>
      <c r="Y87" s="261"/>
      <c r="Z87" s="976"/>
      <c r="AA87" s="950"/>
      <c r="AB87" s="266"/>
      <c r="AC87" s="266"/>
      <c r="AD87" s="266"/>
      <c r="AE87" s="44"/>
      <c r="AF87" s="44"/>
      <c r="AG87" s="44"/>
      <c r="AH87" s="44"/>
      <c r="AI87" s="44"/>
      <c r="AJ87" s="44"/>
      <c r="AK87" s="44"/>
      <c r="AL87" s="44"/>
      <c r="AM87" s="44"/>
      <c r="AN87" s="44"/>
    </row>
    <row r="88" spans="1:40">
      <c r="A88" s="261"/>
      <c r="B88" s="261"/>
      <c r="C88" s="342"/>
      <c r="D88" s="261"/>
      <c r="E88" s="261"/>
      <c r="F88" s="261"/>
      <c r="G88" s="261"/>
      <c r="H88" s="261"/>
      <c r="I88" s="261"/>
      <c r="J88" s="261"/>
      <c r="K88" s="261"/>
      <c r="L88" s="261"/>
      <c r="M88" s="256"/>
      <c r="N88" s="256"/>
      <c r="O88" s="256"/>
      <c r="P88" s="256"/>
      <c r="Q88" s="261"/>
      <c r="R88" s="261"/>
      <c r="S88" s="261"/>
      <c r="T88" s="261"/>
      <c r="U88" s="261"/>
      <c r="V88" s="261"/>
      <c r="W88" s="261"/>
      <c r="X88" s="261"/>
      <c r="Y88" s="261"/>
      <c r="Z88" s="976"/>
      <c r="AA88" s="950"/>
      <c r="AB88" s="266"/>
      <c r="AC88" s="266"/>
      <c r="AD88" s="266"/>
      <c r="AE88" s="44"/>
      <c r="AF88" s="44"/>
      <c r="AG88" s="44"/>
      <c r="AH88" s="44"/>
      <c r="AI88" s="44"/>
      <c r="AJ88" s="44"/>
      <c r="AK88" s="44"/>
      <c r="AL88" s="44"/>
      <c r="AM88" s="44"/>
      <c r="AN88" s="44"/>
    </row>
    <row r="89" spans="1:40">
      <c r="A89" s="261"/>
      <c r="B89" s="261"/>
      <c r="C89" s="342"/>
      <c r="D89" s="261"/>
      <c r="E89" s="261"/>
      <c r="F89" s="261"/>
      <c r="G89" s="261"/>
      <c r="H89" s="261"/>
      <c r="I89" s="261"/>
      <c r="J89" s="261"/>
      <c r="K89" s="261"/>
      <c r="L89" s="261"/>
      <c r="M89" s="256"/>
      <c r="N89" s="256"/>
      <c r="O89" s="256"/>
      <c r="P89" s="256"/>
      <c r="Q89" s="261"/>
      <c r="R89" s="261"/>
      <c r="S89" s="261"/>
      <c r="T89" s="261"/>
      <c r="U89" s="261"/>
      <c r="V89" s="261"/>
      <c r="W89" s="261"/>
      <c r="X89" s="261"/>
      <c r="Y89" s="261"/>
      <c r="Z89" s="976"/>
      <c r="AA89" s="950"/>
      <c r="AB89" s="266"/>
      <c r="AC89" s="266"/>
      <c r="AD89" s="266"/>
      <c r="AE89" s="44"/>
      <c r="AF89" s="44"/>
      <c r="AG89" s="44"/>
      <c r="AH89" s="44"/>
      <c r="AI89" s="44"/>
      <c r="AJ89" s="44"/>
      <c r="AK89" s="44"/>
      <c r="AL89" s="44"/>
      <c r="AM89" s="44"/>
      <c r="AN89" s="44"/>
    </row>
    <row r="90" spans="1:40">
      <c r="A90" s="261"/>
      <c r="B90" s="261"/>
      <c r="C90" s="342"/>
      <c r="D90" s="261"/>
      <c r="E90" s="261"/>
      <c r="F90" s="261"/>
      <c r="G90" s="261"/>
      <c r="H90" s="261"/>
      <c r="I90" s="261"/>
      <c r="J90" s="261"/>
      <c r="K90" s="261"/>
      <c r="L90" s="261"/>
      <c r="M90" s="256"/>
      <c r="N90" s="256"/>
      <c r="O90" s="256"/>
      <c r="P90" s="256"/>
      <c r="Q90" s="261"/>
      <c r="R90" s="261"/>
      <c r="S90" s="261"/>
      <c r="T90" s="261"/>
      <c r="U90" s="261"/>
      <c r="V90" s="261"/>
      <c r="W90" s="261"/>
      <c r="X90" s="261"/>
      <c r="Y90" s="261"/>
      <c r="Z90" s="976"/>
      <c r="AA90" s="950"/>
      <c r="AB90" s="266"/>
      <c r="AC90" s="266"/>
      <c r="AD90" s="266"/>
      <c r="AE90" s="44"/>
      <c r="AF90" s="44"/>
      <c r="AG90" s="44"/>
      <c r="AH90" s="44"/>
      <c r="AI90" s="44"/>
      <c r="AJ90" s="44"/>
      <c r="AK90" s="44"/>
      <c r="AL90" s="44"/>
      <c r="AM90" s="44"/>
      <c r="AN90" s="44"/>
    </row>
    <row r="91" spans="1:40">
      <c r="A91" s="261"/>
      <c r="B91" s="261"/>
      <c r="C91" s="342"/>
      <c r="D91" s="261"/>
      <c r="E91" s="261"/>
      <c r="F91" s="261"/>
      <c r="G91" s="261"/>
      <c r="H91" s="261"/>
      <c r="I91" s="261"/>
      <c r="J91" s="261"/>
      <c r="K91" s="261"/>
      <c r="L91" s="261"/>
      <c r="M91" s="256"/>
      <c r="N91" s="256"/>
      <c r="O91" s="256"/>
      <c r="P91" s="256"/>
      <c r="Q91" s="261"/>
      <c r="R91" s="261"/>
      <c r="S91" s="261"/>
      <c r="T91" s="261"/>
      <c r="U91" s="261"/>
      <c r="V91" s="261"/>
      <c r="W91" s="261"/>
      <c r="X91" s="261"/>
      <c r="Y91" s="261"/>
      <c r="Z91" s="976"/>
      <c r="AA91" s="950"/>
      <c r="AB91" s="266"/>
      <c r="AC91" s="266"/>
      <c r="AD91" s="266"/>
      <c r="AE91" s="44"/>
      <c r="AF91" s="44"/>
      <c r="AG91" s="44"/>
      <c r="AH91" s="44"/>
      <c r="AI91" s="44"/>
      <c r="AJ91" s="44"/>
      <c r="AK91" s="44"/>
      <c r="AL91" s="44"/>
      <c r="AM91" s="44"/>
      <c r="AN91" s="44"/>
    </row>
    <row r="92" spans="1:40">
      <c r="A92" s="261"/>
      <c r="B92" s="261"/>
      <c r="C92" s="342"/>
      <c r="D92" s="261"/>
      <c r="E92" s="261"/>
      <c r="F92" s="261"/>
      <c r="G92" s="261"/>
      <c r="H92" s="261"/>
      <c r="I92" s="261"/>
      <c r="J92" s="261"/>
      <c r="K92" s="261"/>
      <c r="L92" s="261"/>
      <c r="M92" s="256"/>
      <c r="N92" s="256"/>
      <c r="O92" s="256"/>
      <c r="P92" s="256"/>
      <c r="Q92" s="261"/>
      <c r="R92" s="261"/>
      <c r="S92" s="261"/>
      <c r="T92" s="261"/>
      <c r="U92" s="261"/>
      <c r="V92" s="261"/>
      <c r="W92" s="261"/>
      <c r="X92" s="261"/>
      <c r="Y92" s="261"/>
      <c r="Z92" s="976"/>
      <c r="AA92" s="950"/>
      <c r="AB92" s="266"/>
      <c r="AC92" s="266"/>
      <c r="AD92" s="266"/>
      <c r="AE92" s="44"/>
      <c r="AF92" s="44"/>
      <c r="AG92" s="44"/>
      <c r="AH92" s="44"/>
      <c r="AI92" s="44"/>
      <c r="AJ92" s="44"/>
      <c r="AK92" s="44"/>
      <c r="AL92" s="44"/>
      <c r="AM92" s="44"/>
      <c r="AN92" s="44"/>
    </row>
    <row r="93" spans="1:40">
      <c r="A93" s="261"/>
      <c r="B93" s="261"/>
      <c r="C93" s="342"/>
      <c r="D93" s="261"/>
      <c r="E93" s="261"/>
      <c r="F93" s="261"/>
      <c r="G93" s="261"/>
      <c r="H93" s="261"/>
      <c r="I93" s="261"/>
      <c r="J93" s="261"/>
      <c r="K93" s="261"/>
      <c r="L93" s="261"/>
      <c r="M93" s="256"/>
      <c r="N93" s="256"/>
      <c r="O93" s="256"/>
      <c r="P93" s="256"/>
      <c r="Q93" s="261"/>
      <c r="R93" s="261"/>
      <c r="S93" s="261"/>
      <c r="T93" s="261"/>
      <c r="U93" s="261"/>
      <c r="V93" s="261"/>
      <c r="W93" s="261"/>
      <c r="X93" s="261"/>
      <c r="Y93" s="261"/>
      <c r="Z93" s="976"/>
      <c r="AA93" s="950"/>
      <c r="AB93" s="266"/>
      <c r="AC93" s="266"/>
      <c r="AD93" s="266"/>
      <c r="AE93" s="44"/>
      <c r="AF93" s="44"/>
      <c r="AG93" s="44"/>
      <c r="AH93" s="44"/>
      <c r="AI93" s="44"/>
      <c r="AJ93" s="44"/>
      <c r="AK93" s="44"/>
      <c r="AL93" s="44"/>
      <c r="AM93" s="44"/>
      <c r="AN93" s="44"/>
    </row>
    <row r="94" spans="1:40">
      <c r="A94" s="261"/>
      <c r="B94" s="261"/>
      <c r="C94" s="342"/>
      <c r="D94" s="261"/>
      <c r="E94" s="261"/>
      <c r="F94" s="261"/>
      <c r="G94" s="261"/>
      <c r="H94" s="261"/>
      <c r="I94" s="261"/>
      <c r="J94" s="261"/>
      <c r="K94" s="261"/>
      <c r="L94" s="261"/>
      <c r="M94" s="256"/>
      <c r="N94" s="256"/>
      <c r="O94" s="256"/>
      <c r="P94" s="256"/>
      <c r="Q94" s="261"/>
      <c r="R94" s="261"/>
      <c r="S94" s="261"/>
      <c r="T94" s="261"/>
      <c r="U94" s="261"/>
      <c r="V94" s="261"/>
      <c r="W94" s="261"/>
      <c r="X94" s="261"/>
      <c r="Y94" s="261"/>
      <c r="Z94" s="976"/>
      <c r="AA94" s="950"/>
      <c r="AB94" s="266"/>
      <c r="AC94" s="266"/>
      <c r="AD94" s="266"/>
      <c r="AE94" s="44"/>
      <c r="AF94" s="44"/>
      <c r="AG94" s="44"/>
      <c r="AH94" s="44"/>
      <c r="AI94" s="44"/>
      <c r="AJ94" s="44"/>
      <c r="AK94" s="44"/>
      <c r="AL94" s="44"/>
      <c r="AM94" s="44"/>
      <c r="AN94" s="44"/>
    </row>
    <row r="95" spans="1:40">
      <c r="A95" s="261"/>
      <c r="B95" s="261"/>
      <c r="C95" s="342"/>
      <c r="D95" s="261"/>
      <c r="E95" s="261"/>
      <c r="F95" s="261"/>
      <c r="G95" s="261"/>
      <c r="H95" s="261"/>
      <c r="I95" s="261"/>
      <c r="J95" s="261"/>
      <c r="K95" s="261"/>
      <c r="L95" s="261"/>
      <c r="M95" s="256"/>
      <c r="N95" s="256"/>
      <c r="O95" s="256"/>
      <c r="P95" s="256"/>
      <c r="Q95" s="261"/>
      <c r="R95" s="261"/>
      <c r="S95" s="261"/>
      <c r="T95" s="261"/>
      <c r="U95" s="261"/>
      <c r="V95" s="261"/>
      <c r="W95" s="261"/>
      <c r="X95" s="261"/>
      <c r="Y95" s="261"/>
      <c r="Z95" s="976"/>
      <c r="AA95" s="950"/>
      <c r="AB95" s="266"/>
      <c r="AC95" s="266"/>
      <c r="AD95" s="266"/>
      <c r="AE95" s="44"/>
      <c r="AF95" s="44"/>
      <c r="AG95" s="44"/>
      <c r="AH95" s="44"/>
      <c r="AI95" s="44"/>
      <c r="AJ95" s="44"/>
      <c r="AK95" s="44"/>
      <c r="AL95" s="44"/>
      <c r="AM95" s="44"/>
      <c r="AN95" s="44"/>
    </row>
    <row r="96" spans="1:40">
      <c r="A96" s="261"/>
      <c r="B96" s="261"/>
      <c r="C96" s="342"/>
      <c r="D96" s="261"/>
      <c r="E96" s="261"/>
      <c r="F96" s="261"/>
      <c r="G96" s="261"/>
      <c r="H96" s="261"/>
      <c r="I96" s="261"/>
      <c r="J96" s="261"/>
      <c r="K96" s="261"/>
      <c r="L96" s="261"/>
      <c r="M96" s="256"/>
      <c r="N96" s="256"/>
      <c r="O96" s="256"/>
      <c r="P96" s="256"/>
      <c r="Q96" s="261"/>
      <c r="R96" s="261"/>
      <c r="S96" s="261"/>
      <c r="T96" s="261"/>
      <c r="U96" s="261"/>
      <c r="V96" s="261"/>
      <c r="W96" s="261"/>
      <c r="X96" s="261"/>
      <c r="Y96" s="261"/>
      <c r="Z96" s="976"/>
      <c r="AA96" s="950"/>
      <c r="AB96" s="266"/>
      <c r="AC96" s="266"/>
      <c r="AD96" s="266"/>
      <c r="AE96" s="44"/>
      <c r="AF96" s="44"/>
      <c r="AG96" s="44"/>
      <c r="AH96" s="44"/>
      <c r="AI96" s="44"/>
      <c r="AJ96" s="44"/>
      <c r="AK96" s="44"/>
      <c r="AL96" s="44"/>
      <c r="AM96" s="44"/>
      <c r="AN96" s="44"/>
    </row>
    <row r="97" spans="1:40">
      <c r="A97" s="261"/>
      <c r="B97" s="261"/>
      <c r="C97" s="342"/>
      <c r="D97" s="261"/>
      <c r="E97" s="261"/>
      <c r="F97" s="261"/>
      <c r="G97" s="261"/>
      <c r="H97" s="261"/>
      <c r="I97" s="261"/>
      <c r="J97" s="261"/>
      <c r="K97" s="261"/>
      <c r="L97" s="261"/>
      <c r="M97" s="256"/>
      <c r="N97" s="256"/>
      <c r="O97" s="256"/>
      <c r="P97" s="256"/>
      <c r="Q97" s="261"/>
      <c r="R97" s="261"/>
      <c r="S97" s="261"/>
      <c r="T97" s="261"/>
      <c r="U97" s="261"/>
      <c r="V97" s="261"/>
      <c r="W97" s="261"/>
      <c r="X97" s="261"/>
      <c r="Y97" s="261"/>
      <c r="Z97" s="976"/>
      <c r="AA97" s="950"/>
      <c r="AB97" s="266"/>
      <c r="AC97" s="266"/>
      <c r="AD97" s="266"/>
      <c r="AE97" s="44"/>
      <c r="AF97" s="44"/>
      <c r="AG97" s="44"/>
      <c r="AH97" s="44"/>
      <c r="AI97" s="44"/>
      <c r="AJ97" s="44"/>
      <c r="AK97" s="44"/>
      <c r="AL97" s="44"/>
      <c r="AM97" s="44"/>
      <c r="AN97" s="44"/>
    </row>
    <row r="98" spans="1:40">
      <c r="A98" s="261"/>
      <c r="B98" s="261"/>
      <c r="C98" s="342"/>
      <c r="D98" s="261"/>
      <c r="E98" s="261"/>
      <c r="F98" s="261"/>
      <c r="G98" s="261"/>
      <c r="H98" s="261"/>
      <c r="I98" s="261"/>
      <c r="J98" s="261"/>
      <c r="K98" s="261"/>
      <c r="L98" s="261"/>
      <c r="M98" s="256"/>
      <c r="N98" s="256"/>
      <c r="O98" s="256"/>
      <c r="P98" s="256"/>
      <c r="Q98" s="261"/>
      <c r="R98" s="261"/>
      <c r="S98" s="261"/>
      <c r="T98" s="261"/>
      <c r="U98" s="261"/>
      <c r="V98" s="261"/>
      <c r="W98" s="261"/>
      <c r="X98" s="261"/>
      <c r="Y98" s="261"/>
      <c r="Z98" s="976"/>
      <c r="AA98" s="950"/>
      <c r="AB98" s="266"/>
      <c r="AC98" s="266"/>
      <c r="AD98" s="266"/>
      <c r="AE98" s="44"/>
      <c r="AF98" s="44"/>
      <c r="AG98" s="44"/>
      <c r="AH98" s="44"/>
      <c r="AI98" s="44"/>
      <c r="AJ98" s="44"/>
      <c r="AK98" s="44"/>
      <c r="AL98" s="44"/>
      <c r="AM98" s="44"/>
      <c r="AN98" s="44"/>
    </row>
    <row r="99" spans="1:40">
      <c r="A99" s="261"/>
      <c r="B99" s="261"/>
      <c r="C99" s="342"/>
      <c r="D99" s="261"/>
      <c r="E99" s="261"/>
      <c r="F99" s="261"/>
      <c r="G99" s="261"/>
      <c r="H99" s="261"/>
      <c r="I99" s="261"/>
      <c r="J99" s="261"/>
      <c r="K99" s="261"/>
      <c r="L99" s="261"/>
      <c r="M99" s="256"/>
      <c r="N99" s="256"/>
      <c r="O99" s="256"/>
      <c r="P99" s="256"/>
      <c r="Q99" s="261"/>
      <c r="R99" s="261"/>
      <c r="S99" s="261"/>
      <c r="T99" s="261"/>
      <c r="U99" s="261"/>
      <c r="V99" s="261"/>
      <c r="W99" s="261"/>
      <c r="X99" s="261"/>
      <c r="Y99" s="261"/>
      <c r="Z99" s="976"/>
      <c r="AA99" s="950"/>
      <c r="AB99" s="266"/>
      <c r="AC99" s="266"/>
      <c r="AD99" s="266"/>
      <c r="AE99" s="44"/>
      <c r="AF99" s="44"/>
      <c r="AG99" s="44"/>
      <c r="AH99" s="44"/>
      <c r="AI99" s="44"/>
      <c r="AJ99" s="44"/>
      <c r="AK99" s="44"/>
      <c r="AL99" s="44"/>
      <c r="AM99" s="44"/>
      <c r="AN99" s="44"/>
    </row>
    <row r="100" spans="1:40">
      <c r="A100" s="261"/>
      <c r="B100" s="261"/>
      <c r="C100" s="342"/>
      <c r="D100" s="261"/>
      <c r="E100" s="261"/>
      <c r="F100" s="261"/>
      <c r="G100" s="261"/>
      <c r="H100" s="261"/>
      <c r="I100" s="261"/>
      <c r="J100" s="261"/>
      <c r="K100" s="261"/>
      <c r="L100" s="261"/>
      <c r="M100" s="256"/>
      <c r="N100" s="256"/>
      <c r="O100" s="256"/>
      <c r="P100" s="256"/>
      <c r="Q100" s="261"/>
      <c r="R100" s="261"/>
      <c r="S100" s="261"/>
      <c r="T100" s="261"/>
      <c r="U100" s="261"/>
      <c r="V100" s="261"/>
      <c r="W100" s="261"/>
      <c r="X100" s="261"/>
      <c r="Y100" s="261"/>
      <c r="Z100" s="976"/>
      <c r="AA100" s="950"/>
      <c r="AB100" s="266"/>
      <c r="AC100" s="266"/>
      <c r="AD100" s="266"/>
      <c r="AE100" s="44"/>
      <c r="AF100" s="44"/>
      <c r="AG100" s="44"/>
      <c r="AH100" s="44"/>
      <c r="AI100" s="44"/>
      <c r="AJ100" s="44"/>
      <c r="AK100" s="44"/>
      <c r="AL100" s="44"/>
      <c r="AM100" s="44"/>
      <c r="AN100" s="44"/>
    </row>
    <row r="101" spans="1:40">
      <c r="A101" s="261"/>
      <c r="B101" s="261"/>
      <c r="C101" s="342"/>
      <c r="D101" s="261"/>
      <c r="E101" s="261"/>
      <c r="F101" s="261"/>
      <c r="G101" s="261"/>
      <c r="H101" s="261"/>
      <c r="I101" s="261"/>
      <c r="J101" s="261"/>
      <c r="K101" s="261"/>
      <c r="L101" s="261"/>
      <c r="M101" s="256"/>
      <c r="N101" s="256"/>
      <c r="O101" s="256"/>
      <c r="P101" s="256"/>
      <c r="Q101" s="261"/>
      <c r="R101" s="261"/>
      <c r="S101" s="261"/>
      <c r="T101" s="261"/>
      <c r="U101" s="261"/>
      <c r="V101" s="261"/>
      <c r="W101" s="261"/>
      <c r="X101" s="261"/>
      <c r="Y101" s="261"/>
      <c r="Z101" s="976"/>
      <c r="AA101" s="950"/>
      <c r="AB101" s="266"/>
      <c r="AC101" s="266"/>
      <c r="AD101" s="266"/>
      <c r="AE101" s="44"/>
      <c r="AF101" s="44"/>
      <c r="AG101" s="44"/>
      <c r="AH101" s="44"/>
      <c r="AI101" s="44"/>
      <c r="AJ101" s="44"/>
      <c r="AK101" s="44"/>
      <c r="AL101" s="44"/>
      <c r="AM101" s="44"/>
      <c r="AN101" s="44"/>
    </row>
    <row r="102" spans="1:40">
      <c r="A102" s="261"/>
      <c r="B102" s="261"/>
      <c r="C102" s="342"/>
      <c r="D102" s="261"/>
      <c r="E102" s="261"/>
      <c r="F102" s="261"/>
      <c r="G102" s="261"/>
      <c r="H102" s="261"/>
      <c r="I102" s="261"/>
      <c r="J102" s="261"/>
      <c r="K102" s="261"/>
      <c r="L102" s="261"/>
      <c r="M102" s="256"/>
      <c r="N102" s="256"/>
      <c r="O102" s="256"/>
      <c r="P102" s="256"/>
      <c r="Q102" s="261"/>
      <c r="R102" s="261"/>
      <c r="S102" s="261"/>
      <c r="T102" s="261"/>
      <c r="U102" s="261"/>
      <c r="V102" s="261"/>
      <c r="W102" s="261"/>
      <c r="X102" s="261"/>
      <c r="Y102" s="261"/>
      <c r="Z102" s="976"/>
      <c r="AA102" s="950"/>
      <c r="AB102" s="266"/>
      <c r="AC102" s="266"/>
      <c r="AD102" s="266"/>
      <c r="AE102" s="44"/>
      <c r="AF102" s="44"/>
      <c r="AG102" s="44"/>
      <c r="AH102" s="44"/>
      <c r="AI102" s="44"/>
      <c r="AJ102" s="44"/>
      <c r="AK102" s="44"/>
      <c r="AL102" s="44"/>
      <c r="AM102" s="44"/>
      <c r="AN102" s="44"/>
    </row>
    <row r="103" spans="1:40">
      <c r="A103" s="261"/>
      <c r="B103" s="261"/>
      <c r="C103" s="342"/>
      <c r="D103" s="261"/>
      <c r="E103" s="261"/>
      <c r="F103" s="261"/>
      <c r="G103" s="261"/>
      <c r="H103" s="261"/>
      <c r="I103" s="261"/>
      <c r="J103" s="261"/>
      <c r="K103" s="261"/>
      <c r="L103" s="261"/>
      <c r="M103" s="256"/>
      <c r="N103" s="256"/>
      <c r="O103" s="256"/>
      <c r="P103" s="256"/>
      <c r="Q103" s="261"/>
      <c r="R103" s="261"/>
      <c r="S103" s="261"/>
      <c r="T103" s="261"/>
      <c r="U103" s="261"/>
      <c r="V103" s="261"/>
      <c r="W103" s="261"/>
      <c r="X103" s="261"/>
      <c r="Y103" s="261"/>
      <c r="Z103" s="976"/>
      <c r="AA103" s="950"/>
      <c r="AB103" s="266"/>
      <c r="AC103" s="266"/>
      <c r="AD103" s="266"/>
      <c r="AE103" s="44"/>
      <c r="AF103" s="44"/>
      <c r="AG103" s="44"/>
      <c r="AH103" s="44"/>
      <c r="AI103" s="44"/>
      <c r="AJ103" s="44"/>
      <c r="AK103" s="44"/>
      <c r="AL103" s="44"/>
      <c r="AM103" s="44"/>
      <c r="AN103" s="44"/>
    </row>
    <row r="104" spans="1:40">
      <c r="A104" s="261"/>
      <c r="B104" s="261"/>
      <c r="C104" s="342"/>
      <c r="D104" s="261"/>
      <c r="E104" s="261"/>
      <c r="F104" s="261"/>
      <c r="G104" s="261"/>
      <c r="H104" s="261"/>
      <c r="I104" s="261"/>
      <c r="J104" s="261"/>
      <c r="K104" s="261"/>
      <c r="L104" s="261"/>
      <c r="M104" s="256"/>
      <c r="N104" s="256"/>
      <c r="O104" s="256"/>
      <c r="P104" s="256"/>
      <c r="Q104" s="261"/>
      <c r="R104" s="261"/>
      <c r="S104" s="261"/>
      <c r="T104" s="261"/>
      <c r="U104" s="261"/>
      <c r="V104" s="261"/>
      <c r="W104" s="261"/>
      <c r="X104" s="261"/>
      <c r="Y104" s="261"/>
      <c r="Z104" s="976"/>
      <c r="AA104" s="950"/>
      <c r="AB104" s="266"/>
      <c r="AC104" s="266"/>
      <c r="AD104" s="266"/>
      <c r="AE104" s="44"/>
      <c r="AF104" s="44"/>
      <c r="AG104" s="44"/>
      <c r="AH104" s="44"/>
      <c r="AI104" s="44"/>
      <c r="AJ104" s="44"/>
      <c r="AK104" s="44"/>
      <c r="AL104" s="44"/>
      <c r="AM104" s="44"/>
      <c r="AN104" s="44"/>
    </row>
    <row r="105" spans="1:40">
      <c r="A105" s="261"/>
      <c r="B105" s="261"/>
      <c r="C105" s="342"/>
      <c r="D105" s="261"/>
      <c r="E105" s="261"/>
      <c r="F105" s="261"/>
      <c r="G105" s="261"/>
      <c r="H105" s="261"/>
      <c r="I105" s="261"/>
      <c r="J105" s="261"/>
      <c r="K105" s="261"/>
      <c r="L105" s="261"/>
      <c r="M105" s="256"/>
      <c r="N105" s="256"/>
      <c r="O105" s="256"/>
      <c r="P105" s="256"/>
      <c r="Q105" s="261"/>
      <c r="R105" s="261"/>
      <c r="S105" s="261"/>
      <c r="T105" s="261"/>
      <c r="U105" s="261"/>
      <c r="V105" s="261"/>
      <c r="W105" s="261"/>
      <c r="X105" s="261"/>
      <c r="Y105" s="261"/>
      <c r="Z105" s="976"/>
      <c r="AA105" s="950"/>
      <c r="AB105" s="266"/>
      <c r="AC105" s="266"/>
      <c r="AD105" s="266"/>
      <c r="AE105" s="44"/>
      <c r="AF105" s="44"/>
      <c r="AG105" s="44"/>
      <c r="AH105" s="44"/>
      <c r="AI105" s="44"/>
      <c r="AJ105" s="44"/>
      <c r="AK105" s="44"/>
      <c r="AL105" s="44"/>
      <c r="AM105" s="44"/>
      <c r="AN105" s="44"/>
    </row>
    <row r="106" spans="1:40">
      <c r="A106" s="261"/>
      <c r="B106" s="261"/>
      <c r="C106" s="342"/>
      <c r="D106" s="261"/>
      <c r="E106" s="261"/>
      <c r="F106" s="261"/>
      <c r="G106" s="261"/>
      <c r="H106" s="261"/>
      <c r="I106" s="261"/>
      <c r="J106" s="261"/>
      <c r="K106" s="261"/>
      <c r="L106" s="261"/>
      <c r="M106" s="256"/>
      <c r="N106" s="256"/>
      <c r="O106" s="256"/>
      <c r="P106" s="256"/>
      <c r="Q106" s="261"/>
      <c r="R106" s="261"/>
      <c r="S106" s="261"/>
      <c r="T106" s="261"/>
      <c r="U106" s="261"/>
      <c r="V106" s="261"/>
      <c r="W106" s="261"/>
      <c r="X106" s="261"/>
      <c r="Y106" s="261"/>
      <c r="Z106" s="976"/>
      <c r="AA106" s="950"/>
      <c r="AB106" s="266"/>
      <c r="AC106" s="266"/>
      <c r="AD106" s="266"/>
      <c r="AE106" s="44"/>
      <c r="AF106" s="44"/>
      <c r="AG106" s="44"/>
      <c r="AH106" s="44"/>
      <c r="AI106" s="44"/>
      <c r="AJ106" s="44"/>
      <c r="AK106" s="44"/>
      <c r="AL106" s="44"/>
      <c r="AM106" s="44"/>
      <c r="AN106" s="44"/>
    </row>
    <row r="107" spans="1:40">
      <c r="A107" s="261"/>
      <c r="B107" s="261"/>
      <c r="C107" s="342"/>
      <c r="D107" s="261"/>
      <c r="E107" s="261"/>
      <c r="F107" s="261"/>
      <c r="G107" s="261"/>
      <c r="H107" s="261"/>
      <c r="I107" s="261"/>
      <c r="J107" s="261"/>
      <c r="K107" s="261"/>
      <c r="L107" s="261"/>
      <c r="M107" s="256"/>
      <c r="N107" s="256"/>
      <c r="O107" s="256"/>
      <c r="P107" s="256"/>
      <c r="Q107" s="261"/>
      <c r="R107" s="261"/>
      <c r="S107" s="261"/>
      <c r="T107" s="261"/>
      <c r="U107" s="261"/>
      <c r="V107" s="261"/>
      <c r="W107" s="261"/>
      <c r="X107" s="261"/>
      <c r="Y107" s="261"/>
      <c r="Z107" s="976"/>
      <c r="AA107" s="950"/>
      <c r="AB107" s="266"/>
      <c r="AC107" s="266"/>
      <c r="AD107" s="266"/>
      <c r="AE107" s="44"/>
      <c r="AF107" s="44"/>
      <c r="AG107" s="44"/>
      <c r="AH107" s="44"/>
      <c r="AI107" s="44"/>
      <c r="AJ107" s="44"/>
      <c r="AK107" s="44"/>
      <c r="AL107" s="44"/>
      <c r="AM107" s="44"/>
      <c r="AN107" s="44"/>
    </row>
    <row r="108" spans="1:40">
      <c r="A108" s="261"/>
      <c r="B108" s="261"/>
      <c r="C108" s="342"/>
      <c r="D108" s="261"/>
      <c r="E108" s="261"/>
      <c r="F108" s="261"/>
      <c r="G108" s="261"/>
      <c r="H108" s="261"/>
      <c r="I108" s="261"/>
      <c r="J108" s="261"/>
      <c r="K108" s="261"/>
      <c r="L108" s="261"/>
      <c r="M108" s="256"/>
      <c r="N108" s="256"/>
      <c r="O108" s="256"/>
      <c r="P108" s="256"/>
      <c r="Q108" s="261"/>
      <c r="R108" s="261"/>
      <c r="S108" s="261"/>
      <c r="T108" s="261"/>
      <c r="U108" s="261"/>
      <c r="V108" s="261"/>
      <c r="W108" s="261"/>
      <c r="X108" s="261"/>
      <c r="Y108" s="261"/>
      <c r="Z108" s="976"/>
      <c r="AA108" s="950"/>
      <c r="AB108" s="266"/>
      <c r="AC108" s="266"/>
      <c r="AD108" s="266"/>
      <c r="AE108" s="44"/>
      <c r="AF108" s="44"/>
      <c r="AG108" s="44"/>
      <c r="AH108" s="44"/>
      <c r="AI108" s="44"/>
      <c r="AJ108" s="44"/>
      <c r="AK108" s="44"/>
      <c r="AL108" s="44"/>
      <c r="AM108" s="44"/>
      <c r="AN108" s="44"/>
    </row>
    <row r="109" spans="1:40">
      <c r="A109" s="261"/>
      <c r="B109" s="261"/>
      <c r="C109" s="342"/>
      <c r="D109" s="261"/>
      <c r="E109" s="261"/>
      <c r="F109" s="261"/>
      <c r="G109" s="261"/>
      <c r="H109" s="261"/>
      <c r="I109" s="261"/>
      <c r="J109" s="261"/>
      <c r="K109" s="261"/>
      <c r="L109" s="261"/>
      <c r="M109" s="256"/>
      <c r="N109" s="256"/>
      <c r="O109" s="256"/>
      <c r="P109" s="256"/>
      <c r="Q109" s="261"/>
      <c r="R109" s="261"/>
      <c r="S109" s="261"/>
      <c r="T109" s="261"/>
      <c r="U109" s="261"/>
      <c r="V109" s="261"/>
      <c r="W109" s="261"/>
      <c r="X109" s="261"/>
      <c r="Y109" s="261"/>
      <c r="Z109" s="976"/>
      <c r="AA109" s="950"/>
      <c r="AB109" s="266"/>
      <c r="AC109" s="266"/>
      <c r="AD109" s="266"/>
      <c r="AE109" s="44"/>
      <c r="AF109" s="44"/>
      <c r="AG109" s="44"/>
      <c r="AH109" s="44"/>
      <c r="AI109" s="44"/>
      <c r="AJ109" s="44"/>
      <c r="AK109" s="44"/>
      <c r="AL109" s="44"/>
      <c r="AM109" s="44"/>
      <c r="AN109" s="44"/>
    </row>
    <row r="110" spans="1:40">
      <c r="A110" s="261"/>
      <c r="B110" s="261"/>
      <c r="C110" s="342"/>
      <c r="D110" s="261"/>
      <c r="E110" s="261"/>
      <c r="F110" s="261"/>
      <c r="G110" s="261"/>
      <c r="H110" s="261"/>
      <c r="I110" s="261"/>
      <c r="J110" s="261"/>
      <c r="K110" s="261"/>
      <c r="L110" s="261"/>
      <c r="M110" s="256"/>
      <c r="N110" s="256"/>
      <c r="O110" s="256"/>
      <c r="P110" s="256"/>
      <c r="Q110" s="261"/>
      <c r="R110" s="261"/>
      <c r="S110" s="261"/>
      <c r="T110" s="261"/>
      <c r="U110" s="261"/>
      <c r="V110" s="261"/>
      <c r="W110" s="261"/>
      <c r="X110" s="261"/>
      <c r="Y110" s="261"/>
      <c r="Z110" s="976"/>
      <c r="AA110" s="950"/>
      <c r="AB110" s="266"/>
      <c r="AC110" s="266"/>
      <c r="AD110" s="266"/>
      <c r="AE110" s="44"/>
      <c r="AF110" s="44"/>
      <c r="AG110" s="44"/>
      <c r="AH110" s="44"/>
      <c r="AI110" s="44"/>
      <c r="AJ110" s="44"/>
      <c r="AK110" s="44"/>
      <c r="AL110" s="44"/>
      <c r="AM110" s="44"/>
      <c r="AN110" s="44"/>
    </row>
    <row r="111" spans="1:40">
      <c r="A111" s="261"/>
      <c r="B111" s="261"/>
      <c r="C111" s="342"/>
      <c r="D111" s="261"/>
      <c r="E111" s="261"/>
      <c r="F111" s="261"/>
      <c r="G111" s="261"/>
      <c r="H111" s="261"/>
      <c r="I111" s="261"/>
      <c r="J111" s="261"/>
      <c r="K111" s="261"/>
      <c r="L111" s="261"/>
      <c r="M111" s="256"/>
      <c r="N111" s="256"/>
      <c r="O111" s="256"/>
      <c r="P111" s="256"/>
      <c r="Q111" s="261"/>
      <c r="R111" s="261"/>
      <c r="S111" s="261"/>
      <c r="T111" s="261"/>
      <c r="U111" s="261"/>
      <c r="V111" s="261"/>
      <c r="W111" s="261"/>
      <c r="X111" s="261"/>
      <c r="Y111" s="261"/>
      <c r="Z111" s="976"/>
      <c r="AA111" s="950"/>
      <c r="AB111" s="266"/>
      <c r="AC111" s="266"/>
      <c r="AD111" s="266"/>
      <c r="AE111" s="44"/>
      <c r="AF111" s="44"/>
      <c r="AG111" s="44"/>
      <c r="AH111" s="44"/>
      <c r="AI111" s="44"/>
      <c r="AJ111" s="44"/>
      <c r="AK111" s="44"/>
      <c r="AL111" s="44"/>
      <c r="AM111" s="44"/>
      <c r="AN111" s="44"/>
    </row>
    <row r="112" spans="1:40">
      <c r="A112" s="261"/>
      <c r="B112" s="261"/>
      <c r="C112" s="342"/>
      <c r="D112" s="261"/>
      <c r="E112" s="261"/>
      <c r="F112" s="261"/>
      <c r="G112" s="261"/>
      <c r="H112" s="261"/>
      <c r="I112" s="261"/>
      <c r="J112" s="261"/>
      <c r="K112" s="261"/>
      <c r="L112" s="261"/>
      <c r="M112" s="256"/>
      <c r="N112" s="256"/>
      <c r="O112" s="256"/>
      <c r="P112" s="256"/>
      <c r="Q112" s="261"/>
      <c r="R112" s="261"/>
      <c r="S112" s="261"/>
      <c r="T112" s="261"/>
      <c r="U112" s="261"/>
      <c r="V112" s="261"/>
      <c r="W112" s="261"/>
      <c r="X112" s="261"/>
      <c r="Y112" s="261"/>
      <c r="Z112" s="976"/>
      <c r="AA112" s="950"/>
      <c r="AB112" s="266"/>
      <c r="AC112" s="266"/>
      <c r="AD112" s="266"/>
      <c r="AE112" s="44"/>
      <c r="AF112" s="44"/>
      <c r="AG112" s="44"/>
      <c r="AH112" s="44"/>
      <c r="AI112" s="44"/>
      <c r="AJ112" s="44"/>
      <c r="AK112" s="44"/>
      <c r="AL112" s="44"/>
      <c r="AM112" s="44"/>
      <c r="AN112" s="44"/>
    </row>
    <row r="113" spans="1:40">
      <c r="A113" s="261"/>
      <c r="B113" s="261"/>
      <c r="C113" s="342"/>
      <c r="D113" s="261"/>
      <c r="E113" s="261"/>
      <c r="F113" s="261"/>
      <c r="G113" s="261"/>
      <c r="H113" s="261"/>
      <c r="I113" s="261"/>
      <c r="J113" s="261"/>
      <c r="K113" s="261"/>
      <c r="L113" s="261"/>
      <c r="M113" s="256"/>
      <c r="N113" s="256"/>
      <c r="O113" s="256"/>
      <c r="P113" s="256"/>
      <c r="Q113" s="261"/>
      <c r="R113" s="261"/>
      <c r="S113" s="261"/>
      <c r="T113" s="261"/>
      <c r="U113" s="261"/>
      <c r="V113" s="261"/>
      <c r="W113" s="261"/>
      <c r="X113" s="261"/>
      <c r="Y113" s="261"/>
      <c r="Z113" s="976"/>
      <c r="AA113" s="950"/>
      <c r="AB113" s="266"/>
      <c r="AC113" s="266"/>
      <c r="AD113" s="266"/>
      <c r="AE113" s="44"/>
      <c r="AF113" s="44"/>
      <c r="AG113" s="44"/>
      <c r="AH113" s="44"/>
      <c r="AI113" s="44"/>
      <c r="AJ113" s="44"/>
      <c r="AK113" s="44"/>
      <c r="AL113" s="44"/>
      <c r="AM113" s="44"/>
      <c r="AN113" s="44"/>
    </row>
    <row r="114" spans="1:40">
      <c r="A114" s="261"/>
      <c r="B114" s="261"/>
      <c r="C114" s="342"/>
      <c r="D114" s="261"/>
      <c r="E114" s="261"/>
      <c r="F114" s="261"/>
      <c r="G114" s="261"/>
      <c r="H114" s="261"/>
      <c r="I114" s="261"/>
      <c r="J114" s="261"/>
      <c r="K114" s="261"/>
      <c r="L114" s="261"/>
      <c r="M114" s="256"/>
      <c r="N114" s="256"/>
      <c r="O114" s="256"/>
      <c r="P114" s="256"/>
      <c r="Q114" s="261"/>
      <c r="R114" s="261"/>
      <c r="S114" s="261"/>
      <c r="T114" s="261"/>
      <c r="U114" s="261"/>
      <c r="V114" s="261"/>
      <c r="W114" s="261"/>
      <c r="X114" s="261"/>
      <c r="Y114" s="261"/>
      <c r="Z114" s="976"/>
      <c r="AA114" s="950"/>
      <c r="AB114" s="266"/>
      <c r="AC114" s="266"/>
      <c r="AD114" s="266"/>
      <c r="AE114" s="44"/>
      <c r="AF114" s="44"/>
      <c r="AG114" s="44"/>
      <c r="AH114" s="44"/>
      <c r="AI114" s="44"/>
      <c r="AJ114" s="44"/>
      <c r="AK114" s="44"/>
      <c r="AL114" s="44"/>
      <c r="AM114" s="44"/>
      <c r="AN114" s="44"/>
    </row>
    <row r="115" spans="1:40">
      <c r="A115" s="261"/>
      <c r="B115" s="261"/>
      <c r="C115" s="342"/>
      <c r="D115" s="261"/>
      <c r="E115" s="261"/>
      <c r="F115" s="261"/>
      <c r="G115" s="261"/>
      <c r="H115" s="261"/>
      <c r="I115" s="261"/>
      <c r="J115" s="261"/>
      <c r="K115" s="261"/>
      <c r="L115" s="261"/>
      <c r="M115" s="256"/>
      <c r="N115" s="256"/>
      <c r="O115" s="256"/>
      <c r="P115" s="256"/>
      <c r="Q115" s="261"/>
      <c r="R115" s="261"/>
      <c r="S115" s="261"/>
      <c r="T115" s="261"/>
      <c r="U115" s="261"/>
      <c r="V115" s="261"/>
      <c r="W115" s="261"/>
      <c r="X115" s="261"/>
      <c r="Y115" s="261"/>
      <c r="Z115" s="976"/>
      <c r="AA115" s="950"/>
      <c r="AB115" s="266"/>
      <c r="AC115" s="266"/>
      <c r="AD115" s="266"/>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951"/>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951"/>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951"/>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951"/>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951"/>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951"/>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951"/>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951"/>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951"/>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951"/>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951"/>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951"/>
      <c r="AB127" s="44"/>
      <c r="AC127" s="44"/>
      <c r="AD127" s="44"/>
      <c r="AE127" s="44"/>
      <c r="AF127" s="44"/>
      <c r="AG127" s="44"/>
      <c r="AH127" s="44"/>
      <c r="AI127" s="44"/>
      <c r="AJ127" s="44"/>
      <c r="AK127" s="44"/>
      <c r="AL127" s="44"/>
      <c r="AM127" s="44"/>
      <c r="AN127" s="44"/>
    </row>
    <row r="128" spans="1:40" s="19" customFormat="1">
      <c r="C128" s="21"/>
      <c r="Z128" s="990"/>
      <c r="AA128" s="986"/>
    </row>
    <row r="129" spans="3:27" s="19" customFormat="1">
      <c r="C129" s="21"/>
      <c r="Z129" s="990"/>
      <c r="AA129" s="986"/>
    </row>
    <row r="130" spans="3:27" s="19" customFormat="1">
      <c r="C130" s="21"/>
      <c r="Z130" s="990"/>
      <c r="AA130" s="986"/>
    </row>
    <row r="131" spans="3:27" s="19" customFormat="1">
      <c r="C131" s="21"/>
      <c r="Z131" s="990"/>
      <c r="AA131" s="986"/>
    </row>
    <row r="132" spans="3:27" s="19" customFormat="1">
      <c r="C132" s="21"/>
      <c r="Z132" s="990"/>
      <c r="AA132" s="986"/>
    </row>
    <row r="133" spans="3:27" s="19" customFormat="1">
      <c r="C133" s="21"/>
      <c r="Z133" s="990"/>
      <c r="AA133" s="986"/>
    </row>
    <row r="134" spans="3:27" s="19" customFormat="1">
      <c r="C134" s="21"/>
      <c r="Z134" s="990"/>
      <c r="AA134" s="986"/>
    </row>
    <row r="135" spans="3:27" s="19" customFormat="1">
      <c r="C135" s="21"/>
      <c r="Z135" s="990"/>
      <c r="AA135" s="986"/>
    </row>
    <row r="136" spans="3:27" s="19" customFormat="1">
      <c r="C136" s="21"/>
      <c r="Z136" s="990"/>
      <c r="AA136" s="986"/>
    </row>
    <row r="137" spans="3:27" s="19" customFormat="1">
      <c r="C137" s="21"/>
      <c r="Z137" s="990"/>
      <c r="AA137" s="986"/>
    </row>
    <row r="138" spans="3:27" s="19" customFormat="1">
      <c r="C138" s="21"/>
      <c r="Z138" s="990"/>
      <c r="AA138" s="986"/>
    </row>
    <row r="139" spans="3:27" s="19" customFormat="1">
      <c r="C139" s="21"/>
      <c r="Z139" s="990"/>
      <c r="AA139" s="986"/>
    </row>
    <row r="140" spans="3:27" s="19" customFormat="1">
      <c r="C140" s="21"/>
      <c r="Z140" s="990"/>
      <c r="AA140" s="986"/>
    </row>
    <row r="141" spans="3:27" s="19" customFormat="1">
      <c r="C141" s="21"/>
      <c r="Z141" s="990"/>
      <c r="AA141" s="986"/>
    </row>
    <row r="142" spans="3:27" s="19" customFormat="1">
      <c r="C142" s="21"/>
      <c r="Z142" s="990"/>
      <c r="AA142" s="986"/>
    </row>
    <row r="143" spans="3:27" s="19" customFormat="1">
      <c r="C143" s="21"/>
      <c r="Z143" s="990"/>
      <c r="AA143" s="986"/>
    </row>
    <row r="144" spans="3:27" s="19" customFormat="1">
      <c r="C144" s="21"/>
      <c r="Z144" s="990"/>
      <c r="AA144" s="986"/>
    </row>
    <row r="145" spans="3:27" s="19" customFormat="1">
      <c r="C145" s="21"/>
      <c r="Z145" s="990"/>
      <c r="AA145" s="986"/>
    </row>
    <row r="146" spans="3:27" s="19" customFormat="1">
      <c r="C146" s="21"/>
      <c r="Z146" s="990"/>
      <c r="AA146" s="986"/>
    </row>
    <row r="147" spans="3:27" s="19" customFormat="1">
      <c r="C147" s="21"/>
      <c r="Z147" s="990"/>
      <c r="AA147" s="986"/>
    </row>
    <row r="148" spans="3:27" s="19" customFormat="1">
      <c r="C148" s="21"/>
      <c r="Z148" s="990"/>
      <c r="AA148" s="986"/>
    </row>
    <row r="149" spans="3:27" s="19" customFormat="1">
      <c r="C149" s="21"/>
      <c r="Z149" s="990"/>
      <c r="AA149" s="986"/>
    </row>
    <row r="150" spans="3:27" s="19" customFormat="1">
      <c r="C150" s="21"/>
      <c r="Z150" s="990"/>
      <c r="AA150" s="986"/>
    </row>
    <row r="151" spans="3:27" s="19" customFormat="1">
      <c r="C151" s="21"/>
      <c r="Z151" s="990"/>
      <c r="AA151" s="986"/>
    </row>
    <row r="152" spans="3:27" s="19" customFormat="1">
      <c r="C152" s="21"/>
      <c r="Z152" s="990"/>
      <c r="AA152" s="986"/>
    </row>
    <row r="153" spans="3:27" s="19" customFormat="1">
      <c r="C153" s="21"/>
      <c r="Z153" s="990"/>
      <c r="AA153" s="986"/>
    </row>
    <row r="154" spans="3:27" s="19" customFormat="1">
      <c r="C154" s="21"/>
      <c r="Z154" s="990"/>
      <c r="AA154" s="986"/>
    </row>
    <row r="155" spans="3:27" s="19" customFormat="1">
      <c r="C155" s="21"/>
      <c r="Z155" s="990"/>
      <c r="AA155" s="986"/>
    </row>
    <row r="156" spans="3:27" s="19" customFormat="1">
      <c r="C156" s="21"/>
      <c r="Z156" s="990"/>
      <c r="AA156" s="986"/>
    </row>
    <row r="157" spans="3:27" s="19" customFormat="1">
      <c r="C157" s="21"/>
      <c r="Z157" s="990"/>
      <c r="AA157" s="986"/>
    </row>
    <row r="158" spans="3:27" s="19" customFormat="1">
      <c r="C158" s="21"/>
      <c r="Z158" s="990"/>
      <c r="AA158" s="986"/>
    </row>
    <row r="159" spans="3:27" s="19" customFormat="1">
      <c r="C159" s="21"/>
      <c r="Z159" s="990"/>
      <c r="AA159" s="986"/>
    </row>
    <row r="160" spans="3:27" s="19" customFormat="1">
      <c r="C160" s="21"/>
      <c r="Z160" s="990"/>
      <c r="AA160" s="986"/>
    </row>
    <row r="161" spans="3:27" s="19" customFormat="1">
      <c r="C161" s="21"/>
      <c r="Z161" s="990"/>
      <c r="AA161" s="986"/>
    </row>
    <row r="162" spans="3:27" s="19" customFormat="1">
      <c r="C162" s="21"/>
      <c r="Z162" s="990"/>
      <c r="AA162" s="986"/>
    </row>
    <row r="163" spans="3:27" s="19" customFormat="1">
      <c r="C163" s="21"/>
      <c r="Z163" s="990"/>
      <c r="AA163" s="986"/>
    </row>
    <row r="164" spans="3:27" s="19" customFormat="1">
      <c r="C164" s="21"/>
      <c r="Z164" s="990"/>
      <c r="AA164" s="986"/>
    </row>
    <row r="165" spans="3:27" s="19" customFormat="1">
      <c r="C165" s="21"/>
      <c r="Z165" s="990"/>
      <c r="AA165" s="986"/>
    </row>
    <row r="166" spans="3:27" s="19" customFormat="1">
      <c r="C166" s="21"/>
      <c r="Z166" s="990"/>
      <c r="AA166" s="986"/>
    </row>
    <row r="167" spans="3:27" s="19" customFormat="1">
      <c r="C167" s="21"/>
      <c r="Z167" s="990"/>
      <c r="AA167" s="986"/>
    </row>
    <row r="168" spans="3:27" s="19" customFormat="1">
      <c r="C168" s="21"/>
      <c r="Z168" s="990"/>
      <c r="AA168" s="986"/>
    </row>
    <row r="169" spans="3:27" s="19" customFormat="1">
      <c r="C169" s="21"/>
      <c r="Z169" s="990"/>
      <c r="AA169" s="986"/>
    </row>
    <row r="170" spans="3:27" s="19" customFormat="1">
      <c r="C170" s="21"/>
      <c r="Z170" s="990"/>
      <c r="AA170" s="986"/>
    </row>
    <row r="171" spans="3:27" s="19" customFormat="1">
      <c r="C171" s="21"/>
      <c r="Z171" s="990"/>
      <c r="AA171" s="986"/>
    </row>
    <row r="172" spans="3:27" s="19" customFormat="1">
      <c r="C172" s="21"/>
      <c r="Z172" s="990"/>
      <c r="AA172" s="986"/>
    </row>
    <row r="173" spans="3:27" s="19" customFormat="1">
      <c r="C173" s="21"/>
      <c r="Z173" s="990"/>
      <c r="AA173" s="986"/>
    </row>
    <row r="174" spans="3:27" s="19" customFormat="1">
      <c r="C174" s="21"/>
      <c r="Z174" s="990"/>
      <c r="AA174" s="986"/>
    </row>
    <row r="175" spans="3:27" s="19" customFormat="1">
      <c r="C175" s="21"/>
      <c r="Z175" s="990"/>
      <c r="AA175" s="986"/>
    </row>
    <row r="176" spans="3:27" s="19" customFormat="1">
      <c r="C176" s="21"/>
      <c r="Z176" s="990"/>
      <c r="AA176" s="986"/>
    </row>
    <row r="177" spans="3:27" s="19" customFormat="1">
      <c r="C177" s="21"/>
      <c r="Z177" s="990"/>
      <c r="AA177" s="986"/>
    </row>
    <row r="178" spans="3:27" s="19" customFormat="1">
      <c r="C178" s="21"/>
      <c r="Z178" s="990"/>
      <c r="AA178" s="986"/>
    </row>
    <row r="179" spans="3:27" s="19" customFormat="1">
      <c r="C179" s="21"/>
      <c r="Z179" s="990"/>
      <c r="AA179" s="986"/>
    </row>
    <row r="180" spans="3:27" s="19" customFormat="1">
      <c r="C180" s="21"/>
      <c r="Z180" s="990"/>
      <c r="AA180" s="986"/>
    </row>
    <row r="181" spans="3:27" s="19" customFormat="1">
      <c r="C181" s="21"/>
      <c r="Z181" s="990"/>
      <c r="AA181" s="986"/>
    </row>
    <row r="182" spans="3:27" s="19" customFormat="1">
      <c r="C182" s="21"/>
      <c r="Z182" s="990"/>
      <c r="AA182" s="986"/>
    </row>
    <row r="183" spans="3:27" s="19" customFormat="1">
      <c r="C183" s="21"/>
      <c r="Z183" s="990"/>
      <c r="AA183" s="986"/>
    </row>
    <row r="184" spans="3:27" s="19" customFormat="1">
      <c r="C184" s="21"/>
      <c r="Z184" s="990"/>
      <c r="AA184" s="986"/>
    </row>
    <row r="185" spans="3:27" s="19" customFormat="1">
      <c r="C185" s="21"/>
      <c r="Z185" s="990"/>
      <c r="AA185" s="986"/>
    </row>
    <row r="186" spans="3:27" s="19" customFormat="1">
      <c r="C186" s="21"/>
      <c r="Z186" s="990"/>
      <c r="AA186" s="986"/>
    </row>
    <row r="187" spans="3:27" s="19" customFormat="1">
      <c r="C187" s="21"/>
      <c r="Z187" s="990"/>
      <c r="AA187" s="986"/>
    </row>
    <row r="188" spans="3:27" s="19" customFormat="1">
      <c r="C188" s="21"/>
      <c r="Z188" s="990"/>
      <c r="AA188" s="986"/>
    </row>
    <row r="189" spans="3:27" s="19" customFormat="1">
      <c r="C189" s="21"/>
      <c r="Z189" s="990"/>
      <c r="AA189" s="986"/>
    </row>
    <row r="190" spans="3:27" s="19" customFormat="1">
      <c r="C190" s="21"/>
      <c r="Z190" s="990"/>
      <c r="AA190" s="986"/>
    </row>
    <row r="191" spans="3:27" s="19" customFormat="1">
      <c r="C191" s="21"/>
      <c r="Z191" s="990"/>
      <c r="AA191" s="986"/>
    </row>
    <row r="192" spans="3:27" s="19" customFormat="1">
      <c r="C192" s="21"/>
      <c r="Z192" s="990"/>
      <c r="AA192" s="986"/>
    </row>
    <row r="193" spans="3:27" s="19" customFormat="1">
      <c r="C193" s="21"/>
      <c r="Z193" s="990"/>
      <c r="AA193" s="986"/>
    </row>
    <row r="194" spans="3:27" s="19" customFormat="1">
      <c r="C194" s="21"/>
      <c r="Z194" s="990"/>
      <c r="AA194" s="986"/>
    </row>
    <row r="195" spans="3:27" s="19" customFormat="1">
      <c r="C195" s="21"/>
      <c r="Z195" s="990"/>
      <c r="AA195" s="986"/>
    </row>
    <row r="196" spans="3:27" s="19" customFormat="1">
      <c r="C196" s="21"/>
      <c r="Z196" s="990"/>
      <c r="AA196" s="986"/>
    </row>
    <row r="197" spans="3:27" s="19" customFormat="1">
      <c r="C197" s="21"/>
      <c r="Z197" s="990"/>
      <c r="AA197" s="986"/>
    </row>
    <row r="198" spans="3:27" s="19" customFormat="1">
      <c r="C198" s="21"/>
      <c r="Z198" s="990"/>
      <c r="AA198" s="986"/>
    </row>
    <row r="199" spans="3:27" s="19" customFormat="1">
      <c r="C199" s="21"/>
      <c r="Z199" s="990"/>
      <c r="AA199" s="986"/>
    </row>
    <row r="200" spans="3:27" s="19" customFormat="1">
      <c r="C200" s="21"/>
      <c r="Z200" s="990"/>
      <c r="AA200" s="986"/>
    </row>
    <row r="201" spans="3:27" s="19" customFormat="1">
      <c r="C201" s="21"/>
      <c r="Z201" s="990"/>
      <c r="AA201" s="986"/>
    </row>
    <row r="202" spans="3:27" s="19" customFormat="1">
      <c r="C202" s="21"/>
      <c r="Z202" s="990"/>
      <c r="AA202" s="986"/>
    </row>
    <row r="203" spans="3:27" s="19" customFormat="1">
      <c r="C203" s="21"/>
      <c r="Z203" s="990"/>
      <c r="AA203" s="986"/>
    </row>
    <row r="204" spans="3:27" s="19" customFormat="1">
      <c r="C204" s="21"/>
      <c r="Z204" s="990"/>
      <c r="AA204" s="986"/>
    </row>
    <row r="205" spans="3:27" s="19" customFormat="1">
      <c r="C205" s="21"/>
      <c r="Z205" s="990"/>
      <c r="AA205" s="986"/>
    </row>
    <row r="206" spans="3:27" s="19" customFormat="1">
      <c r="C206" s="21"/>
      <c r="Z206" s="990"/>
      <c r="AA206" s="986"/>
    </row>
    <row r="207" spans="3:27" s="19" customFormat="1">
      <c r="C207" s="21"/>
      <c r="Z207" s="990"/>
      <c r="AA207" s="986"/>
    </row>
    <row r="208" spans="3:27" s="19" customFormat="1">
      <c r="C208" s="21"/>
      <c r="Z208" s="990"/>
      <c r="AA208" s="986"/>
    </row>
    <row r="209" spans="3:27" s="19" customFormat="1">
      <c r="C209" s="21"/>
      <c r="Z209" s="990"/>
      <c r="AA209" s="986"/>
    </row>
    <row r="210" spans="3:27" s="19" customFormat="1">
      <c r="C210" s="21"/>
      <c r="Z210" s="990"/>
      <c r="AA210" s="986"/>
    </row>
    <row r="211" spans="3:27" s="19" customFormat="1">
      <c r="C211" s="21"/>
      <c r="Z211" s="990"/>
      <c r="AA211" s="986"/>
    </row>
    <row r="212" spans="3:27" s="19" customFormat="1">
      <c r="C212" s="21"/>
      <c r="Z212" s="990"/>
      <c r="AA212" s="986"/>
    </row>
    <row r="213" spans="3:27" s="19" customFormat="1">
      <c r="C213" s="21"/>
      <c r="Z213" s="990"/>
      <c r="AA213" s="986"/>
    </row>
    <row r="214" spans="3:27" s="19" customFormat="1">
      <c r="C214" s="21"/>
      <c r="Z214" s="990"/>
      <c r="AA214" s="986"/>
    </row>
    <row r="215" spans="3:27" s="19" customFormat="1">
      <c r="C215" s="21"/>
      <c r="Z215" s="990"/>
      <c r="AA215" s="986"/>
    </row>
    <row r="216" spans="3:27" s="19" customFormat="1">
      <c r="C216" s="21"/>
      <c r="Z216" s="990"/>
      <c r="AA216" s="986"/>
    </row>
    <row r="217" spans="3:27" s="19" customFormat="1">
      <c r="C217" s="21"/>
      <c r="Z217" s="990"/>
      <c r="AA217" s="986"/>
    </row>
    <row r="218" spans="3:27" s="19" customFormat="1">
      <c r="C218" s="21"/>
      <c r="Z218" s="990"/>
      <c r="AA218" s="986"/>
    </row>
    <row r="219" spans="3:27" s="19" customFormat="1">
      <c r="C219" s="21"/>
      <c r="Z219" s="990"/>
      <c r="AA219" s="986"/>
    </row>
    <row r="220" spans="3:27" s="19" customFormat="1">
      <c r="C220" s="21"/>
      <c r="Z220" s="990"/>
      <c r="AA220" s="986"/>
    </row>
    <row r="221" spans="3:27" s="19" customFormat="1">
      <c r="C221" s="21"/>
      <c r="Z221" s="990"/>
      <c r="AA221" s="986"/>
    </row>
    <row r="222" spans="3:27" s="19" customFormat="1">
      <c r="C222" s="21"/>
      <c r="Z222" s="990"/>
      <c r="AA222" s="986"/>
    </row>
    <row r="223" spans="3:27" s="19" customFormat="1">
      <c r="C223" s="21"/>
      <c r="Z223" s="990"/>
      <c r="AA223" s="986"/>
    </row>
    <row r="224" spans="3:27" s="19" customFormat="1">
      <c r="C224" s="21"/>
      <c r="Z224" s="990"/>
      <c r="AA224" s="986"/>
    </row>
    <row r="225" spans="3:27" s="19" customFormat="1">
      <c r="C225" s="21"/>
      <c r="Z225" s="990"/>
      <c r="AA225" s="986"/>
    </row>
    <row r="226" spans="3:27" s="19" customFormat="1">
      <c r="C226" s="21"/>
      <c r="Z226" s="990"/>
      <c r="AA226" s="986"/>
    </row>
    <row r="227" spans="3:27" s="19" customFormat="1">
      <c r="C227" s="21"/>
      <c r="Z227" s="990"/>
      <c r="AA227" s="986"/>
    </row>
    <row r="228" spans="3:27" s="19" customFormat="1">
      <c r="C228" s="21"/>
      <c r="Z228" s="990"/>
      <c r="AA228" s="986"/>
    </row>
    <row r="229" spans="3:27" s="19" customFormat="1">
      <c r="C229" s="21"/>
      <c r="Z229" s="990"/>
      <c r="AA229" s="986"/>
    </row>
    <row r="230" spans="3:27" s="19" customFormat="1">
      <c r="C230" s="21"/>
      <c r="Z230" s="990"/>
      <c r="AA230" s="986"/>
    </row>
    <row r="231" spans="3:27" s="19" customFormat="1">
      <c r="C231" s="21"/>
      <c r="Z231" s="990"/>
      <c r="AA231" s="986"/>
    </row>
    <row r="232" spans="3:27" s="19" customFormat="1">
      <c r="C232" s="21"/>
      <c r="Z232" s="990"/>
      <c r="AA232" s="986"/>
    </row>
    <row r="233" spans="3:27" s="19" customFormat="1">
      <c r="C233" s="21"/>
      <c r="Z233" s="990"/>
      <c r="AA233" s="986"/>
    </row>
    <row r="234" spans="3:27" s="19" customFormat="1">
      <c r="C234" s="21"/>
      <c r="Z234" s="990"/>
      <c r="AA234" s="986"/>
    </row>
    <row r="235" spans="3:27" s="19" customFormat="1">
      <c r="C235" s="21"/>
      <c r="Z235" s="990"/>
      <c r="AA235" s="986"/>
    </row>
    <row r="236" spans="3:27" s="19" customFormat="1">
      <c r="C236" s="21"/>
      <c r="Z236" s="990"/>
      <c r="AA236" s="986"/>
    </row>
    <row r="237" spans="3:27" s="19" customFormat="1">
      <c r="C237" s="21"/>
      <c r="Z237" s="990"/>
      <c r="AA237" s="986"/>
    </row>
    <row r="238" spans="3:27" s="19" customFormat="1">
      <c r="C238" s="21"/>
      <c r="Z238" s="990"/>
      <c r="AA238" s="986"/>
    </row>
    <row r="239" spans="3:27" s="19" customFormat="1">
      <c r="C239" s="21"/>
      <c r="Z239" s="990"/>
      <c r="AA239" s="986"/>
    </row>
    <row r="240" spans="3:27" s="19" customFormat="1">
      <c r="C240" s="21"/>
      <c r="Z240" s="990"/>
      <c r="AA240" s="986"/>
    </row>
    <row r="241" spans="3:27" s="19" customFormat="1">
      <c r="C241" s="21"/>
      <c r="Z241" s="990"/>
      <c r="AA241" s="986"/>
    </row>
    <row r="242" spans="3:27" s="19" customFormat="1">
      <c r="C242" s="21"/>
      <c r="Z242" s="990"/>
      <c r="AA242" s="986"/>
    </row>
    <row r="243" spans="3:27" s="19" customFormat="1">
      <c r="C243" s="21"/>
      <c r="Z243" s="990"/>
      <c r="AA243" s="986"/>
    </row>
    <row r="244" spans="3:27" s="19" customFormat="1">
      <c r="C244" s="21"/>
      <c r="Z244" s="990"/>
      <c r="AA244" s="986"/>
    </row>
    <row r="245" spans="3:27" s="19" customFormat="1">
      <c r="C245" s="21"/>
      <c r="Z245" s="990"/>
      <c r="AA245" s="986"/>
    </row>
    <row r="246" spans="3:27" s="19" customFormat="1">
      <c r="C246" s="21"/>
      <c r="Z246" s="990"/>
      <c r="AA246" s="986"/>
    </row>
    <row r="247" spans="3:27" s="19" customFormat="1">
      <c r="C247" s="21"/>
      <c r="Z247" s="990"/>
      <c r="AA247" s="986"/>
    </row>
    <row r="248" spans="3:27" s="19" customFormat="1">
      <c r="C248" s="21"/>
      <c r="Z248" s="990"/>
      <c r="AA248" s="986"/>
    </row>
    <row r="249" spans="3:27" s="19" customFormat="1">
      <c r="C249" s="21"/>
      <c r="Z249" s="990"/>
      <c r="AA249" s="986"/>
    </row>
    <row r="250" spans="3:27" s="19" customFormat="1">
      <c r="C250" s="21"/>
      <c r="Z250" s="990"/>
      <c r="AA250" s="986"/>
    </row>
    <row r="251" spans="3:27" s="19" customFormat="1">
      <c r="C251" s="21"/>
      <c r="Z251" s="990"/>
      <c r="AA251" s="986"/>
    </row>
    <row r="252" spans="3:27" s="19" customFormat="1">
      <c r="C252" s="21"/>
      <c r="Z252" s="990"/>
      <c r="AA252" s="986"/>
    </row>
    <row r="253" spans="3:27" s="19" customFormat="1">
      <c r="C253" s="21"/>
      <c r="Z253" s="990"/>
      <c r="AA253" s="986"/>
    </row>
    <row r="254" spans="3:27" s="19" customFormat="1">
      <c r="C254" s="21"/>
      <c r="Z254" s="990"/>
      <c r="AA254" s="986"/>
    </row>
    <row r="255" spans="3:27" s="19" customFormat="1">
      <c r="C255" s="21"/>
      <c r="Z255" s="990"/>
      <c r="AA255" s="986"/>
    </row>
    <row r="256" spans="3:27" s="19" customFormat="1">
      <c r="C256" s="21"/>
      <c r="Z256" s="990"/>
      <c r="AA256" s="986"/>
    </row>
    <row r="257" spans="3:27" s="19" customFormat="1">
      <c r="C257" s="21"/>
      <c r="Z257" s="990"/>
      <c r="AA257" s="986"/>
    </row>
    <row r="258" spans="3:27" s="19" customFormat="1">
      <c r="C258" s="21"/>
      <c r="Z258" s="990"/>
      <c r="AA258" s="986"/>
    </row>
    <row r="259" spans="3:27" s="19" customFormat="1">
      <c r="C259" s="21"/>
      <c r="Z259" s="990"/>
      <c r="AA259" s="986"/>
    </row>
    <row r="260" spans="3:27" s="19" customFormat="1">
      <c r="C260" s="21"/>
      <c r="Z260" s="990"/>
      <c r="AA260" s="986"/>
    </row>
    <row r="261" spans="3:27" s="19" customFormat="1">
      <c r="C261" s="21"/>
      <c r="Z261" s="990"/>
      <c r="AA261" s="986"/>
    </row>
    <row r="262" spans="3:27" s="19" customFormat="1">
      <c r="C262" s="21"/>
      <c r="Z262" s="990"/>
      <c r="AA262" s="986"/>
    </row>
    <row r="263" spans="3:27" s="19" customFormat="1">
      <c r="C263" s="21"/>
      <c r="Z263" s="990"/>
      <c r="AA263" s="986"/>
    </row>
    <row r="264" spans="3:27" s="19" customFormat="1">
      <c r="C264" s="21"/>
      <c r="Z264" s="990"/>
      <c r="AA264" s="986"/>
    </row>
    <row r="265" spans="3:27" s="19" customFormat="1">
      <c r="C265" s="21"/>
      <c r="Z265" s="990"/>
      <c r="AA265" s="986"/>
    </row>
    <row r="266" spans="3:27" s="19" customFormat="1">
      <c r="C266" s="21"/>
      <c r="Z266" s="990"/>
      <c r="AA266" s="986"/>
    </row>
    <row r="267" spans="3:27" s="19" customFormat="1">
      <c r="C267" s="21"/>
      <c r="Z267" s="990"/>
      <c r="AA267" s="986"/>
    </row>
    <row r="268" spans="3:27" s="19" customFormat="1">
      <c r="C268" s="21"/>
      <c r="Z268" s="990"/>
      <c r="AA268" s="986"/>
    </row>
    <row r="269" spans="3:27" s="19" customFormat="1">
      <c r="C269" s="21"/>
      <c r="Z269" s="990"/>
      <c r="AA269" s="986"/>
    </row>
    <row r="270" spans="3:27" s="19" customFormat="1">
      <c r="C270" s="21"/>
      <c r="Z270" s="990"/>
      <c r="AA270" s="986"/>
    </row>
    <row r="271" spans="3:27" s="19" customFormat="1">
      <c r="C271" s="21"/>
      <c r="Z271" s="990"/>
      <c r="AA271" s="986"/>
    </row>
    <row r="272" spans="3:27" s="19" customFormat="1">
      <c r="C272" s="21"/>
      <c r="Z272" s="990"/>
      <c r="AA272" s="986"/>
    </row>
    <row r="273" spans="3:27" s="19" customFormat="1">
      <c r="C273" s="21"/>
      <c r="Z273" s="990"/>
      <c r="AA273" s="986"/>
    </row>
    <row r="274" spans="3:27" s="19" customFormat="1">
      <c r="C274" s="21"/>
      <c r="Z274" s="990"/>
      <c r="AA274" s="986"/>
    </row>
    <row r="275" spans="3:27" s="19" customFormat="1">
      <c r="C275" s="21"/>
      <c r="Z275" s="990"/>
      <c r="AA275" s="986"/>
    </row>
    <row r="276" spans="3:27" s="19" customFormat="1">
      <c r="C276" s="21"/>
      <c r="Z276" s="990"/>
      <c r="AA276" s="986"/>
    </row>
    <row r="277" spans="3:27" s="19" customFormat="1">
      <c r="C277" s="21"/>
      <c r="Z277" s="990"/>
      <c r="AA277" s="986"/>
    </row>
    <row r="278" spans="3:27" s="19" customFormat="1">
      <c r="C278" s="21"/>
      <c r="Z278" s="990"/>
      <c r="AA278" s="986"/>
    </row>
    <row r="279" spans="3:27" s="19" customFormat="1">
      <c r="C279" s="21"/>
      <c r="Z279" s="990"/>
      <c r="AA279" s="986"/>
    </row>
    <row r="280" spans="3:27" s="19" customFormat="1">
      <c r="C280" s="21"/>
      <c r="Z280" s="990"/>
      <c r="AA280" s="986"/>
    </row>
    <row r="281" spans="3:27" s="19" customFormat="1">
      <c r="C281" s="21"/>
      <c r="Z281" s="990"/>
      <c r="AA281" s="986"/>
    </row>
    <row r="282" spans="3:27" s="19" customFormat="1">
      <c r="C282" s="21"/>
      <c r="Z282" s="990"/>
      <c r="AA282" s="986"/>
    </row>
    <row r="283" spans="3:27" s="19" customFormat="1">
      <c r="C283" s="21"/>
      <c r="Z283" s="990"/>
      <c r="AA283" s="986"/>
    </row>
    <row r="284" spans="3:27" s="19" customFormat="1">
      <c r="C284" s="21"/>
      <c r="Z284" s="990"/>
      <c r="AA284" s="986"/>
    </row>
    <row r="285" spans="3:27" s="19" customFormat="1">
      <c r="C285" s="21"/>
      <c r="Z285" s="990"/>
      <c r="AA285" s="986"/>
    </row>
    <row r="286" spans="3:27" s="19" customFormat="1">
      <c r="C286" s="21"/>
      <c r="Z286" s="990"/>
      <c r="AA286" s="986"/>
    </row>
    <row r="287" spans="3:27" s="19" customFormat="1">
      <c r="C287" s="21"/>
      <c r="Z287" s="990"/>
      <c r="AA287" s="986"/>
    </row>
    <row r="288" spans="3:27" s="19" customFormat="1">
      <c r="C288" s="21"/>
      <c r="Z288" s="990"/>
      <c r="AA288" s="986"/>
    </row>
    <row r="289" spans="3:27" s="19" customFormat="1">
      <c r="C289" s="21"/>
      <c r="Z289" s="990"/>
      <c r="AA289" s="986"/>
    </row>
    <row r="290" spans="3:27" s="19" customFormat="1">
      <c r="C290" s="21"/>
      <c r="Z290" s="990"/>
      <c r="AA290" s="986"/>
    </row>
    <row r="291" spans="3:27" s="19" customFormat="1">
      <c r="C291" s="21"/>
      <c r="Z291" s="990"/>
      <c r="AA291" s="986"/>
    </row>
    <row r="292" spans="3:27" s="19" customFormat="1">
      <c r="C292" s="21"/>
      <c r="Z292" s="990"/>
      <c r="AA292" s="986"/>
    </row>
    <row r="293" spans="3:27" s="19" customFormat="1">
      <c r="C293" s="21"/>
      <c r="Z293" s="990"/>
      <c r="AA293" s="986"/>
    </row>
    <row r="294" spans="3:27" s="19" customFormat="1">
      <c r="C294" s="21"/>
      <c r="Z294" s="990"/>
      <c r="AA294" s="986"/>
    </row>
    <row r="295" spans="3:27" s="19" customFormat="1">
      <c r="C295" s="21"/>
      <c r="Z295" s="990"/>
      <c r="AA295" s="986"/>
    </row>
    <row r="296" spans="3:27" s="19" customFormat="1">
      <c r="C296" s="21"/>
      <c r="Z296" s="990"/>
      <c r="AA296" s="986"/>
    </row>
    <row r="297" spans="3:27" s="19" customFormat="1">
      <c r="C297" s="21"/>
      <c r="Z297" s="990"/>
      <c r="AA297" s="986"/>
    </row>
    <row r="298" spans="3:27" s="19" customFormat="1">
      <c r="C298" s="21"/>
      <c r="Z298" s="990"/>
      <c r="AA298" s="986"/>
    </row>
    <row r="299" spans="3:27" s="19" customFormat="1">
      <c r="C299" s="21"/>
      <c r="Z299" s="990"/>
      <c r="AA299" s="986"/>
    </row>
    <row r="300" spans="3:27" s="19" customFormat="1">
      <c r="C300" s="21"/>
      <c r="Z300" s="990"/>
      <c r="AA300" s="986"/>
    </row>
    <row r="301" spans="3:27" s="19" customFormat="1">
      <c r="C301" s="21"/>
      <c r="Z301" s="990"/>
      <c r="AA301" s="986"/>
    </row>
    <row r="302" spans="3:27" s="19" customFormat="1">
      <c r="C302" s="21"/>
      <c r="Z302" s="990"/>
      <c r="AA302" s="986"/>
    </row>
    <row r="303" spans="3:27" s="19" customFormat="1">
      <c r="C303" s="21"/>
      <c r="Z303" s="990"/>
      <c r="AA303" s="986"/>
    </row>
    <row r="304" spans="3:27" s="19" customFormat="1">
      <c r="C304" s="21"/>
      <c r="Z304" s="990"/>
      <c r="AA304" s="986"/>
    </row>
    <row r="305" spans="3:27" s="19" customFormat="1">
      <c r="C305" s="21"/>
      <c r="Z305" s="990"/>
      <c r="AA305" s="986"/>
    </row>
    <row r="306" spans="3:27" s="19" customFormat="1">
      <c r="C306" s="21"/>
      <c r="Z306" s="990"/>
      <c r="AA306" s="986"/>
    </row>
    <row r="307" spans="3:27" s="19" customFormat="1">
      <c r="C307" s="21"/>
      <c r="Z307" s="990"/>
      <c r="AA307" s="986"/>
    </row>
    <row r="308" spans="3:27" s="19" customFormat="1">
      <c r="C308" s="21"/>
      <c r="Z308" s="990"/>
      <c r="AA308" s="986"/>
    </row>
    <row r="309" spans="3:27" s="19" customFormat="1">
      <c r="C309" s="21"/>
      <c r="Z309" s="990"/>
      <c r="AA309" s="986"/>
    </row>
    <row r="310" spans="3:27" s="19" customFormat="1">
      <c r="C310" s="21"/>
      <c r="Z310" s="990"/>
      <c r="AA310" s="986"/>
    </row>
    <row r="311" spans="3:27" s="19" customFormat="1">
      <c r="C311" s="21"/>
      <c r="Z311" s="990"/>
      <c r="AA311" s="986"/>
    </row>
    <row r="312" spans="3:27" s="19" customFormat="1">
      <c r="C312" s="21"/>
      <c r="Z312" s="990"/>
      <c r="AA312" s="986"/>
    </row>
    <row r="313" spans="3:27" s="19" customFormat="1">
      <c r="C313" s="21"/>
      <c r="Z313" s="990"/>
      <c r="AA313" s="986"/>
    </row>
    <row r="314" spans="3:27" s="19" customFormat="1">
      <c r="C314" s="21"/>
      <c r="Z314" s="990"/>
      <c r="AA314" s="986"/>
    </row>
    <row r="315" spans="3:27" s="19" customFormat="1">
      <c r="C315" s="21"/>
      <c r="Z315" s="990"/>
      <c r="AA315" s="986"/>
    </row>
    <row r="316" spans="3:27" s="19" customFormat="1">
      <c r="C316" s="21"/>
      <c r="Z316" s="990"/>
      <c r="AA316" s="986"/>
    </row>
    <row r="317" spans="3:27" s="19" customFormat="1">
      <c r="C317" s="21"/>
      <c r="Z317" s="990"/>
      <c r="AA317" s="986"/>
    </row>
    <row r="318" spans="3:27" s="19" customFormat="1">
      <c r="C318" s="21"/>
      <c r="Z318" s="990"/>
      <c r="AA318" s="986"/>
    </row>
    <row r="319" spans="3:27" s="19" customFormat="1">
      <c r="C319" s="21"/>
      <c r="Z319" s="990"/>
      <c r="AA319" s="986"/>
    </row>
    <row r="320" spans="3:27" s="19" customFormat="1">
      <c r="C320" s="21"/>
      <c r="Z320" s="990"/>
      <c r="AA320" s="986"/>
    </row>
    <row r="321" spans="3:27" s="19" customFormat="1">
      <c r="C321" s="21"/>
      <c r="Z321" s="990"/>
      <c r="AA321" s="986"/>
    </row>
    <row r="322" spans="3:27" s="19" customFormat="1">
      <c r="C322" s="21"/>
      <c r="Z322" s="990"/>
      <c r="AA322" s="986"/>
    </row>
    <row r="323" spans="3:27" s="19" customFormat="1">
      <c r="C323" s="21"/>
      <c r="Z323" s="990"/>
      <c r="AA323" s="986"/>
    </row>
    <row r="324" spans="3:27" s="19" customFormat="1">
      <c r="C324" s="21"/>
      <c r="Z324" s="990"/>
      <c r="AA324" s="986"/>
    </row>
    <row r="325" spans="3:27" s="19" customFormat="1">
      <c r="C325" s="21"/>
      <c r="Z325" s="990"/>
      <c r="AA325" s="986"/>
    </row>
    <row r="326" spans="3:27" s="19" customFormat="1">
      <c r="C326" s="21"/>
      <c r="Z326" s="990"/>
      <c r="AA326" s="986"/>
    </row>
    <row r="327" spans="3:27" s="19" customFormat="1">
      <c r="C327" s="21"/>
      <c r="Z327" s="990"/>
      <c r="AA327" s="986"/>
    </row>
    <row r="328" spans="3:27" s="19" customFormat="1">
      <c r="C328" s="21"/>
      <c r="Z328" s="990"/>
      <c r="AA328" s="986"/>
    </row>
    <row r="329" spans="3:27" s="19" customFormat="1">
      <c r="C329" s="21"/>
      <c r="Z329" s="990"/>
      <c r="AA329" s="986"/>
    </row>
    <row r="330" spans="3:27" s="19" customFormat="1">
      <c r="C330" s="21"/>
      <c r="Z330" s="990"/>
      <c r="AA330" s="986"/>
    </row>
    <row r="331" spans="3:27" s="19" customFormat="1">
      <c r="C331" s="21"/>
      <c r="Z331" s="990"/>
      <c r="AA331" s="986"/>
    </row>
    <row r="332" spans="3:27" s="19" customFormat="1">
      <c r="C332" s="21"/>
      <c r="Z332" s="990"/>
      <c r="AA332" s="986"/>
    </row>
    <row r="333" spans="3:27" s="19" customFormat="1">
      <c r="C333" s="21"/>
      <c r="Z333" s="990"/>
      <c r="AA333" s="986"/>
    </row>
    <row r="334" spans="3:27" s="19" customFormat="1">
      <c r="C334" s="21"/>
      <c r="Z334" s="990"/>
      <c r="AA334" s="986"/>
    </row>
    <row r="335" spans="3:27" s="19" customFormat="1">
      <c r="C335" s="21"/>
      <c r="Z335" s="990"/>
      <c r="AA335" s="986"/>
    </row>
    <row r="336" spans="3:27" s="19" customFormat="1">
      <c r="C336" s="21"/>
      <c r="Z336" s="990"/>
      <c r="AA336" s="986"/>
    </row>
    <row r="337" spans="3:27" s="19" customFormat="1">
      <c r="C337" s="21"/>
      <c r="Z337" s="990"/>
      <c r="AA337" s="986"/>
    </row>
    <row r="338" spans="3:27" s="19" customFormat="1">
      <c r="C338" s="21"/>
      <c r="Z338" s="990"/>
      <c r="AA338" s="986"/>
    </row>
    <row r="339" spans="3:27" s="19" customFormat="1">
      <c r="C339" s="21"/>
      <c r="Z339" s="990"/>
      <c r="AA339" s="986"/>
    </row>
    <row r="340" spans="3:27" s="19" customFormat="1">
      <c r="C340" s="21"/>
      <c r="Z340" s="990"/>
      <c r="AA340" s="986"/>
    </row>
    <row r="341" spans="3:27" s="19" customFormat="1">
      <c r="C341" s="21"/>
      <c r="Z341" s="990"/>
      <c r="AA341" s="986"/>
    </row>
    <row r="342" spans="3:27" s="19" customFormat="1">
      <c r="C342" s="21"/>
      <c r="Z342" s="990"/>
      <c r="AA342" s="986"/>
    </row>
    <row r="343" spans="3:27" s="19" customFormat="1">
      <c r="C343" s="21"/>
      <c r="Z343" s="990"/>
      <c r="AA343" s="986"/>
    </row>
    <row r="344" spans="3:27" s="19" customFormat="1">
      <c r="C344" s="21"/>
      <c r="Z344" s="990"/>
      <c r="AA344" s="986"/>
    </row>
    <row r="345" spans="3:27" s="19" customFormat="1">
      <c r="C345" s="21"/>
      <c r="Z345" s="990"/>
      <c r="AA345" s="986"/>
    </row>
    <row r="346" spans="3:27" s="19" customFormat="1">
      <c r="C346" s="21"/>
      <c r="Z346" s="990"/>
      <c r="AA346" s="986"/>
    </row>
    <row r="347" spans="3:27" s="19" customFormat="1">
      <c r="C347" s="21"/>
      <c r="Z347" s="990"/>
      <c r="AA347" s="986"/>
    </row>
    <row r="348" spans="3:27" s="19" customFormat="1">
      <c r="C348" s="21"/>
      <c r="Z348" s="990"/>
      <c r="AA348" s="986"/>
    </row>
    <row r="349" spans="3:27" s="19" customFormat="1">
      <c r="C349" s="21"/>
      <c r="Z349" s="990"/>
      <c r="AA349" s="986"/>
    </row>
    <row r="350" spans="3:27" s="19" customFormat="1">
      <c r="C350" s="21"/>
      <c r="Z350" s="990"/>
      <c r="AA350" s="986"/>
    </row>
    <row r="351" spans="3:27" s="19" customFormat="1">
      <c r="C351" s="21"/>
      <c r="Z351" s="990"/>
      <c r="AA351" s="986"/>
    </row>
    <row r="352" spans="3:27" s="19" customFormat="1">
      <c r="C352" s="21"/>
      <c r="Z352" s="990"/>
      <c r="AA352" s="986"/>
    </row>
    <row r="353" spans="3:27" s="19" customFormat="1">
      <c r="C353" s="21"/>
      <c r="Z353" s="990"/>
      <c r="AA353" s="986"/>
    </row>
    <row r="354" spans="3:27" s="19" customFormat="1">
      <c r="C354" s="21"/>
      <c r="Z354" s="990"/>
      <c r="AA354" s="986"/>
    </row>
    <row r="355" spans="3:27" s="19" customFormat="1">
      <c r="C355" s="21"/>
      <c r="Z355" s="990"/>
      <c r="AA355" s="986"/>
    </row>
    <row r="356" spans="3:27" s="19" customFormat="1">
      <c r="C356" s="21"/>
      <c r="Z356" s="990"/>
      <c r="AA356" s="986"/>
    </row>
    <row r="357" spans="3:27" s="19" customFormat="1">
      <c r="C357" s="21"/>
      <c r="Z357" s="990"/>
      <c r="AA357" s="986"/>
    </row>
    <row r="358" spans="3:27" s="19" customFormat="1">
      <c r="C358" s="21"/>
      <c r="Z358" s="990"/>
      <c r="AA358" s="986"/>
    </row>
    <row r="359" spans="3:27" s="19" customFormat="1">
      <c r="C359" s="21"/>
      <c r="Z359" s="990"/>
      <c r="AA359" s="986"/>
    </row>
    <row r="360" spans="3:27" s="19" customFormat="1">
      <c r="C360" s="21"/>
      <c r="Z360" s="990"/>
      <c r="AA360" s="986"/>
    </row>
    <row r="361" spans="3:27" s="19" customFormat="1">
      <c r="C361" s="21"/>
      <c r="Z361" s="990"/>
      <c r="AA361" s="986"/>
    </row>
    <row r="362" spans="3:27" s="19" customFormat="1">
      <c r="C362" s="21"/>
      <c r="Z362" s="990"/>
      <c r="AA362" s="986"/>
    </row>
    <row r="363" spans="3:27" s="19" customFormat="1">
      <c r="C363" s="21"/>
      <c r="Z363" s="990"/>
      <c r="AA363" s="986"/>
    </row>
    <row r="364" spans="3:27" s="19" customFormat="1">
      <c r="C364" s="21"/>
      <c r="Z364" s="990"/>
      <c r="AA364" s="986"/>
    </row>
    <row r="365" spans="3:27" s="19" customFormat="1">
      <c r="C365" s="21"/>
      <c r="Z365" s="990"/>
      <c r="AA365" s="986"/>
    </row>
    <row r="366" spans="3:27" s="19" customFormat="1">
      <c r="C366" s="21"/>
      <c r="Z366" s="990"/>
      <c r="AA366" s="986"/>
    </row>
    <row r="367" spans="3:27" s="19" customFormat="1">
      <c r="C367" s="21"/>
      <c r="Z367" s="990"/>
      <c r="AA367" s="986"/>
    </row>
    <row r="368" spans="3:27" s="19" customFormat="1">
      <c r="C368" s="21"/>
      <c r="Z368" s="990"/>
      <c r="AA368" s="986"/>
    </row>
    <row r="369" spans="3:27" s="19" customFormat="1">
      <c r="C369" s="21"/>
      <c r="Z369" s="990"/>
      <c r="AA369" s="986"/>
    </row>
    <row r="370" spans="3:27" s="19" customFormat="1">
      <c r="C370" s="21"/>
      <c r="Z370" s="990"/>
      <c r="AA370" s="986"/>
    </row>
    <row r="371" spans="3:27" s="19" customFormat="1">
      <c r="C371" s="21"/>
      <c r="Z371" s="990"/>
      <c r="AA371" s="986"/>
    </row>
    <row r="372" spans="3:27" s="19" customFormat="1">
      <c r="C372" s="21"/>
      <c r="Z372" s="990"/>
      <c r="AA372" s="986"/>
    </row>
    <row r="373" spans="3:27" s="19" customFormat="1">
      <c r="C373" s="21"/>
      <c r="Z373" s="990"/>
      <c r="AA373" s="986"/>
    </row>
    <row r="374" spans="3:27" s="19" customFormat="1">
      <c r="C374" s="21"/>
      <c r="Z374" s="990"/>
      <c r="AA374" s="986"/>
    </row>
    <row r="375" spans="3:27" s="19" customFormat="1">
      <c r="C375" s="21"/>
      <c r="Z375" s="990"/>
      <c r="AA375" s="986"/>
    </row>
    <row r="376" spans="3:27" s="19" customFormat="1">
      <c r="C376" s="21"/>
      <c r="Z376" s="990"/>
      <c r="AA376" s="986"/>
    </row>
    <row r="377" spans="3:27" s="19" customFormat="1">
      <c r="C377" s="21"/>
      <c r="Z377" s="990"/>
      <c r="AA377" s="986"/>
    </row>
    <row r="378" spans="3:27" s="19" customFormat="1">
      <c r="C378" s="21"/>
      <c r="Z378" s="990"/>
      <c r="AA378" s="986"/>
    </row>
    <row r="379" spans="3:27" s="19" customFormat="1">
      <c r="C379" s="21"/>
      <c r="Z379" s="990"/>
      <c r="AA379" s="986"/>
    </row>
    <row r="380" spans="3:27" s="19" customFormat="1">
      <c r="C380" s="21"/>
      <c r="Z380" s="990"/>
      <c r="AA380" s="986"/>
    </row>
    <row r="381" spans="3:27" s="19" customFormat="1">
      <c r="C381" s="21"/>
      <c r="Z381" s="990"/>
      <c r="AA381" s="986"/>
    </row>
    <row r="382" spans="3:27" s="19" customFormat="1">
      <c r="C382" s="21"/>
      <c r="Z382" s="990"/>
      <c r="AA382" s="986"/>
    </row>
    <row r="383" spans="3:27" s="19" customFormat="1">
      <c r="C383" s="21"/>
      <c r="Z383" s="990"/>
      <c r="AA383" s="986"/>
    </row>
    <row r="384" spans="3:27" s="19" customFormat="1">
      <c r="C384" s="21"/>
      <c r="Z384" s="990"/>
      <c r="AA384" s="986"/>
    </row>
    <row r="385" spans="3:27" s="19" customFormat="1">
      <c r="C385" s="21"/>
      <c r="Z385" s="990"/>
      <c r="AA385" s="986"/>
    </row>
    <row r="386" spans="3:27" s="19" customFormat="1">
      <c r="C386" s="21"/>
      <c r="Z386" s="990"/>
      <c r="AA386" s="986"/>
    </row>
    <row r="387" spans="3:27" s="19" customFormat="1">
      <c r="C387" s="21"/>
      <c r="Z387" s="990"/>
      <c r="AA387" s="986"/>
    </row>
    <row r="388" spans="3:27" s="19" customFormat="1">
      <c r="C388" s="21"/>
      <c r="Z388" s="990"/>
      <c r="AA388" s="986"/>
    </row>
    <row r="389" spans="3:27" s="19" customFormat="1">
      <c r="C389" s="21"/>
      <c r="Z389" s="990"/>
      <c r="AA389" s="986"/>
    </row>
    <row r="390" spans="3:27" s="19" customFormat="1">
      <c r="C390" s="21"/>
      <c r="Z390" s="990"/>
      <c r="AA390" s="986"/>
    </row>
    <row r="391" spans="3:27" s="19" customFormat="1">
      <c r="C391" s="21"/>
      <c r="Z391" s="990"/>
      <c r="AA391" s="986"/>
    </row>
    <row r="392" spans="3:27" s="19" customFormat="1">
      <c r="C392" s="21"/>
      <c r="Z392" s="990"/>
      <c r="AA392" s="986"/>
    </row>
    <row r="393" spans="3:27" s="19" customFormat="1">
      <c r="C393" s="21"/>
      <c r="Z393" s="990"/>
      <c r="AA393" s="986"/>
    </row>
    <row r="394" spans="3:27" s="19" customFormat="1">
      <c r="C394" s="21"/>
      <c r="Z394" s="990"/>
      <c r="AA394" s="986"/>
    </row>
    <row r="395" spans="3:27" s="19" customFormat="1">
      <c r="C395" s="21"/>
      <c r="Z395" s="990"/>
      <c r="AA395" s="986"/>
    </row>
    <row r="396" spans="3:27" s="19" customFormat="1">
      <c r="C396" s="21"/>
      <c r="Z396" s="990"/>
      <c r="AA396" s="986"/>
    </row>
    <row r="397" spans="3:27" s="19" customFormat="1">
      <c r="C397" s="21"/>
      <c r="Z397" s="990"/>
      <c r="AA397" s="986"/>
    </row>
    <row r="398" spans="3:27" s="19" customFormat="1">
      <c r="C398" s="21"/>
      <c r="Z398" s="990"/>
      <c r="AA398" s="986"/>
    </row>
    <row r="399" spans="3:27" s="19" customFormat="1">
      <c r="C399" s="21"/>
      <c r="Z399" s="990"/>
      <c r="AA399" s="986"/>
    </row>
    <row r="400" spans="3:27" s="19" customFormat="1">
      <c r="C400" s="21"/>
      <c r="Z400" s="990"/>
      <c r="AA400" s="986"/>
    </row>
    <row r="401" spans="3:27" s="19" customFormat="1">
      <c r="C401" s="21"/>
      <c r="Z401" s="990"/>
      <c r="AA401" s="986"/>
    </row>
    <row r="402" spans="3:27" s="19" customFormat="1">
      <c r="C402" s="21"/>
      <c r="Z402" s="990"/>
      <c r="AA402" s="986"/>
    </row>
    <row r="403" spans="3:27" s="19" customFormat="1">
      <c r="C403" s="21"/>
      <c r="Z403" s="990"/>
      <c r="AA403" s="986"/>
    </row>
    <row r="404" spans="3:27" s="19" customFormat="1">
      <c r="C404" s="21"/>
      <c r="Z404" s="990"/>
      <c r="AA404" s="986"/>
    </row>
    <row r="405" spans="3:27" s="19" customFormat="1">
      <c r="C405" s="21"/>
      <c r="Z405" s="990"/>
      <c r="AA405" s="986"/>
    </row>
    <row r="406" spans="3:27" s="19" customFormat="1">
      <c r="C406" s="21"/>
      <c r="Z406" s="990"/>
      <c r="AA406" s="986"/>
    </row>
    <row r="407" spans="3:27" s="19" customFormat="1">
      <c r="C407" s="21"/>
      <c r="Z407" s="990"/>
      <c r="AA407" s="986"/>
    </row>
    <row r="408" spans="3:27" s="19" customFormat="1">
      <c r="C408" s="21"/>
      <c r="Z408" s="990"/>
      <c r="AA408" s="986"/>
    </row>
    <row r="409" spans="3:27" s="19" customFormat="1">
      <c r="C409" s="21"/>
      <c r="Z409" s="990"/>
      <c r="AA409" s="986"/>
    </row>
    <row r="410" spans="3:27" s="19" customFormat="1">
      <c r="C410" s="21"/>
      <c r="Z410" s="990"/>
      <c r="AA410" s="986"/>
    </row>
    <row r="411" spans="3:27" s="19" customFormat="1">
      <c r="C411" s="21"/>
      <c r="Z411" s="990"/>
      <c r="AA411" s="986"/>
    </row>
    <row r="412" spans="3:27" s="19" customFormat="1">
      <c r="C412" s="21"/>
      <c r="Z412" s="990"/>
      <c r="AA412" s="986"/>
    </row>
    <row r="413" spans="3:27" s="19" customFormat="1">
      <c r="C413" s="21"/>
      <c r="Z413" s="990"/>
      <c r="AA413" s="986"/>
    </row>
    <row r="414" spans="3:27" s="19" customFormat="1">
      <c r="C414" s="21"/>
      <c r="Z414" s="990"/>
      <c r="AA414" s="986"/>
    </row>
    <row r="415" spans="3:27" s="19" customFormat="1">
      <c r="C415" s="21"/>
      <c r="Z415" s="990"/>
      <c r="AA415" s="986"/>
    </row>
    <row r="416" spans="3:27" s="19" customFormat="1">
      <c r="C416" s="21"/>
      <c r="Z416" s="990"/>
      <c r="AA416" s="986"/>
    </row>
    <row r="417" spans="3:27" s="19" customFormat="1">
      <c r="C417" s="21"/>
      <c r="Z417" s="990"/>
      <c r="AA417" s="986"/>
    </row>
    <row r="418" spans="3:27" s="19" customFormat="1">
      <c r="C418" s="21"/>
      <c r="Z418" s="990"/>
      <c r="AA418" s="986"/>
    </row>
    <row r="419" spans="3:27" s="19" customFormat="1">
      <c r="C419" s="21"/>
      <c r="Z419" s="990"/>
      <c r="AA419" s="986"/>
    </row>
    <row r="420" spans="3:27" s="19" customFormat="1">
      <c r="C420" s="21"/>
      <c r="Z420" s="990"/>
      <c r="AA420" s="986"/>
    </row>
    <row r="421" spans="3:27" s="19" customFormat="1">
      <c r="C421" s="21"/>
      <c r="Z421" s="990"/>
      <c r="AA421" s="986"/>
    </row>
    <row r="422" spans="3:27" s="19" customFormat="1">
      <c r="C422" s="21"/>
      <c r="Z422" s="990"/>
      <c r="AA422" s="986"/>
    </row>
    <row r="423" spans="3:27" s="19" customFormat="1">
      <c r="C423" s="21"/>
      <c r="Z423" s="990"/>
      <c r="AA423" s="986"/>
    </row>
    <row r="424" spans="3:27" s="19" customFormat="1">
      <c r="C424" s="21"/>
      <c r="Z424" s="990"/>
      <c r="AA424" s="986"/>
    </row>
    <row r="425" spans="3:27" s="19" customFormat="1">
      <c r="C425" s="21"/>
      <c r="Z425" s="990"/>
      <c r="AA425" s="986"/>
    </row>
    <row r="426" spans="3:27" s="19" customFormat="1">
      <c r="C426" s="21"/>
      <c r="Z426" s="990"/>
      <c r="AA426" s="986"/>
    </row>
    <row r="427" spans="3:27" s="19" customFormat="1">
      <c r="C427" s="21"/>
      <c r="Z427" s="990"/>
      <c r="AA427" s="986"/>
    </row>
    <row r="428" spans="3:27" s="19" customFormat="1">
      <c r="C428" s="21"/>
      <c r="Z428" s="990"/>
      <c r="AA428" s="986"/>
    </row>
    <row r="429" spans="3:27" s="19" customFormat="1">
      <c r="C429" s="21"/>
      <c r="Z429" s="990"/>
      <c r="AA429" s="986"/>
    </row>
    <row r="430" spans="3:27" s="19" customFormat="1">
      <c r="C430" s="21"/>
      <c r="Z430" s="990"/>
      <c r="AA430" s="986"/>
    </row>
    <row r="431" spans="3:27" s="19" customFormat="1">
      <c r="C431" s="21"/>
      <c r="Z431" s="990"/>
      <c r="AA431" s="986"/>
    </row>
    <row r="432" spans="3:27" s="19" customFormat="1">
      <c r="C432" s="21"/>
      <c r="Z432" s="990"/>
      <c r="AA432" s="986"/>
    </row>
    <row r="433" spans="3:27" s="19" customFormat="1">
      <c r="C433" s="21"/>
      <c r="Z433" s="990"/>
      <c r="AA433" s="986"/>
    </row>
    <row r="434" spans="3:27" s="19" customFormat="1">
      <c r="C434" s="21"/>
      <c r="Z434" s="990"/>
      <c r="AA434" s="986"/>
    </row>
    <row r="435" spans="3:27" s="19" customFormat="1">
      <c r="C435" s="21"/>
      <c r="Z435" s="990"/>
      <c r="AA435" s="986"/>
    </row>
    <row r="436" spans="3:27" s="19" customFormat="1">
      <c r="C436" s="21"/>
      <c r="Z436" s="990"/>
      <c r="AA436" s="986"/>
    </row>
    <row r="437" spans="3:27" s="19" customFormat="1">
      <c r="C437" s="21"/>
      <c r="Z437" s="990"/>
      <c r="AA437" s="986"/>
    </row>
    <row r="438" spans="3:27" s="19" customFormat="1">
      <c r="C438" s="21"/>
      <c r="Z438" s="990"/>
      <c r="AA438" s="986"/>
    </row>
    <row r="439" spans="3:27" s="19" customFormat="1">
      <c r="C439" s="21"/>
      <c r="Z439" s="990"/>
      <c r="AA439" s="986"/>
    </row>
    <row r="440" spans="3:27" s="19" customFormat="1">
      <c r="C440" s="21"/>
      <c r="Z440" s="990"/>
      <c r="AA440" s="986"/>
    </row>
    <row r="441" spans="3:27" s="19" customFormat="1">
      <c r="C441" s="21"/>
      <c r="Z441" s="990"/>
      <c r="AA441" s="986"/>
    </row>
    <row r="442" spans="3:27" s="19" customFormat="1">
      <c r="C442" s="21"/>
      <c r="Z442" s="990"/>
      <c r="AA442" s="986"/>
    </row>
    <row r="443" spans="3:27" s="19" customFormat="1">
      <c r="C443" s="21"/>
      <c r="Z443" s="990"/>
      <c r="AA443" s="986"/>
    </row>
    <row r="444" spans="3:27" s="19" customFormat="1">
      <c r="C444" s="21"/>
      <c r="Z444" s="990"/>
      <c r="AA444" s="986"/>
    </row>
    <row r="445" spans="3:27" s="19" customFormat="1">
      <c r="C445" s="21"/>
      <c r="Z445" s="990"/>
      <c r="AA445" s="986"/>
    </row>
    <row r="446" spans="3:27" s="19" customFormat="1">
      <c r="C446" s="21"/>
      <c r="Z446" s="990"/>
      <c r="AA446" s="986"/>
    </row>
    <row r="447" spans="3:27" s="19" customFormat="1">
      <c r="C447" s="21"/>
      <c r="Z447" s="990"/>
      <c r="AA447" s="986"/>
    </row>
    <row r="448" spans="3:27" s="19" customFormat="1">
      <c r="C448" s="21"/>
      <c r="Z448" s="990"/>
      <c r="AA448" s="986"/>
    </row>
    <row r="449" spans="3:27" s="19" customFormat="1">
      <c r="C449" s="21"/>
      <c r="Z449" s="990"/>
      <c r="AA449" s="986"/>
    </row>
    <row r="450" spans="3:27" s="19" customFormat="1">
      <c r="C450" s="21"/>
      <c r="Z450" s="990"/>
      <c r="AA450" s="986"/>
    </row>
    <row r="451" spans="3:27" s="19" customFormat="1">
      <c r="C451" s="21"/>
      <c r="Z451" s="990"/>
      <c r="AA451" s="986"/>
    </row>
    <row r="452" spans="3:27" s="19" customFormat="1">
      <c r="C452" s="21"/>
      <c r="Z452" s="990"/>
      <c r="AA452" s="986"/>
    </row>
    <row r="453" spans="3:27" s="19" customFormat="1">
      <c r="C453" s="21"/>
      <c r="Z453" s="990"/>
      <c r="AA453" s="986"/>
    </row>
    <row r="454" spans="3:27" s="19" customFormat="1">
      <c r="C454" s="21"/>
      <c r="Z454" s="990"/>
      <c r="AA454" s="986"/>
    </row>
    <row r="455" spans="3:27" s="19" customFormat="1">
      <c r="C455" s="21"/>
      <c r="Z455" s="990"/>
      <c r="AA455" s="986"/>
    </row>
    <row r="456" spans="3:27" s="19" customFormat="1">
      <c r="C456" s="21"/>
      <c r="Z456" s="990"/>
      <c r="AA456" s="986"/>
    </row>
    <row r="457" spans="3:27" s="19" customFormat="1">
      <c r="C457" s="21"/>
      <c r="Z457" s="990"/>
      <c r="AA457" s="986"/>
    </row>
    <row r="458" spans="3:27" s="19" customFormat="1">
      <c r="C458" s="21"/>
      <c r="Z458" s="990"/>
      <c r="AA458" s="986"/>
    </row>
    <row r="459" spans="3:27" s="19" customFormat="1">
      <c r="C459" s="21"/>
      <c r="Z459" s="990"/>
      <c r="AA459" s="986"/>
    </row>
    <row r="460" spans="3:27" s="19" customFormat="1">
      <c r="C460" s="21"/>
      <c r="Z460" s="990"/>
      <c r="AA460" s="986"/>
    </row>
    <row r="461" spans="3:27" s="19" customFormat="1">
      <c r="C461" s="21"/>
      <c r="Z461" s="990"/>
      <c r="AA461" s="986"/>
    </row>
    <row r="462" spans="3:27" s="19" customFormat="1">
      <c r="C462" s="21"/>
      <c r="Z462" s="990"/>
      <c r="AA462" s="986"/>
    </row>
    <row r="463" spans="3:27" s="19" customFormat="1">
      <c r="C463" s="21"/>
      <c r="Z463" s="990"/>
      <c r="AA463" s="986"/>
    </row>
    <row r="464" spans="3:27" s="19" customFormat="1">
      <c r="C464" s="21"/>
      <c r="Z464" s="990"/>
      <c r="AA464" s="986"/>
    </row>
    <row r="465" spans="3:27" s="19" customFormat="1">
      <c r="C465" s="21"/>
      <c r="Z465" s="990"/>
      <c r="AA465" s="986"/>
    </row>
    <row r="466" spans="3:27" s="19" customFormat="1">
      <c r="C466" s="21"/>
      <c r="Z466" s="990"/>
      <c r="AA466" s="986"/>
    </row>
    <row r="467" spans="3:27" s="19" customFormat="1">
      <c r="C467" s="21"/>
      <c r="Z467" s="990"/>
      <c r="AA467" s="986"/>
    </row>
    <row r="468" spans="3:27" s="19" customFormat="1">
      <c r="C468" s="21"/>
      <c r="Z468" s="990"/>
      <c r="AA468" s="986"/>
    </row>
    <row r="469" spans="3:27" s="19" customFormat="1">
      <c r="C469" s="21"/>
      <c r="Z469" s="990"/>
      <c r="AA469" s="986"/>
    </row>
    <row r="470" spans="3:27" s="19" customFormat="1">
      <c r="C470" s="21"/>
      <c r="Z470" s="990"/>
      <c r="AA470" s="986"/>
    </row>
    <row r="471" spans="3:27" s="19" customFormat="1">
      <c r="C471" s="21"/>
      <c r="Z471" s="990"/>
      <c r="AA471" s="986"/>
    </row>
    <row r="472" spans="3:27" s="19" customFormat="1">
      <c r="C472" s="21"/>
      <c r="Z472" s="990"/>
      <c r="AA472" s="986"/>
    </row>
    <row r="473" spans="3:27" s="19" customFormat="1">
      <c r="C473" s="21"/>
      <c r="Z473" s="990"/>
      <c r="AA473" s="986"/>
    </row>
    <row r="474" spans="3:27" s="19" customFormat="1">
      <c r="C474" s="21"/>
      <c r="Z474" s="990"/>
      <c r="AA474" s="986"/>
    </row>
    <row r="475" spans="3:27" s="19" customFormat="1">
      <c r="C475" s="21"/>
      <c r="Z475" s="990"/>
      <c r="AA475" s="986"/>
    </row>
    <row r="476" spans="3:27" s="19" customFormat="1">
      <c r="C476" s="21"/>
      <c r="Z476" s="990"/>
      <c r="AA476" s="986"/>
    </row>
    <row r="477" spans="3:27" s="19" customFormat="1">
      <c r="C477" s="21"/>
      <c r="Z477" s="990"/>
      <c r="AA477" s="986"/>
    </row>
    <row r="478" spans="3:27" s="19" customFormat="1">
      <c r="C478" s="21"/>
      <c r="Z478" s="990"/>
      <c r="AA478" s="986"/>
    </row>
    <row r="479" spans="3:27" s="19" customFormat="1">
      <c r="C479" s="21"/>
      <c r="Z479" s="990"/>
      <c r="AA479" s="986"/>
    </row>
    <row r="480" spans="3:27" s="19" customFormat="1">
      <c r="C480" s="21"/>
      <c r="Z480" s="990"/>
      <c r="AA480" s="986"/>
    </row>
    <row r="481" spans="3:27" s="19" customFormat="1">
      <c r="C481" s="21"/>
      <c r="Z481" s="990"/>
      <c r="AA481" s="986"/>
    </row>
    <row r="482" spans="3:27" s="19" customFormat="1">
      <c r="C482" s="21"/>
      <c r="Z482" s="990"/>
      <c r="AA482" s="986"/>
    </row>
    <row r="483" spans="3:27" s="19" customFormat="1">
      <c r="C483" s="21"/>
      <c r="Z483" s="990"/>
      <c r="AA483" s="986"/>
    </row>
    <row r="484" spans="3:27" s="19" customFormat="1">
      <c r="C484" s="21"/>
      <c r="Z484" s="990"/>
      <c r="AA484" s="986"/>
    </row>
    <row r="485" spans="3:27" s="19" customFormat="1">
      <c r="C485" s="21"/>
      <c r="Z485" s="990"/>
      <c r="AA485" s="986"/>
    </row>
    <row r="486" spans="3:27" s="19" customFormat="1">
      <c r="C486" s="21"/>
      <c r="Z486" s="990"/>
      <c r="AA486" s="986"/>
    </row>
    <row r="487" spans="3:27" s="19" customFormat="1">
      <c r="C487" s="21"/>
      <c r="Z487" s="990"/>
      <c r="AA487" s="986"/>
    </row>
    <row r="488" spans="3:27" s="19" customFormat="1">
      <c r="C488" s="21"/>
      <c r="Z488" s="990"/>
      <c r="AA488" s="986"/>
    </row>
    <row r="489" spans="3:27" s="19" customFormat="1">
      <c r="C489" s="21"/>
      <c r="Z489" s="990"/>
      <c r="AA489" s="986"/>
    </row>
    <row r="490" spans="3:27" s="19" customFormat="1">
      <c r="C490" s="21"/>
      <c r="Z490" s="990"/>
      <c r="AA490" s="986"/>
    </row>
    <row r="491" spans="3:27" s="19" customFormat="1">
      <c r="C491" s="21"/>
      <c r="Z491" s="990"/>
      <c r="AA491" s="986"/>
    </row>
    <row r="492" spans="3:27" s="19" customFormat="1">
      <c r="C492" s="21"/>
      <c r="Z492" s="990"/>
      <c r="AA492" s="986"/>
    </row>
    <row r="493" spans="3:27" s="19" customFormat="1">
      <c r="C493" s="21"/>
      <c r="Z493" s="990"/>
      <c r="AA493" s="986"/>
    </row>
    <row r="494" spans="3:27" s="19" customFormat="1">
      <c r="C494" s="21"/>
      <c r="Z494" s="990"/>
      <c r="AA494" s="986"/>
    </row>
    <row r="495" spans="3:27" s="19" customFormat="1">
      <c r="C495" s="21"/>
      <c r="Z495" s="990"/>
      <c r="AA495" s="986"/>
    </row>
    <row r="496" spans="3:27" s="19" customFormat="1">
      <c r="C496" s="21"/>
      <c r="Z496" s="990"/>
      <c r="AA496" s="986"/>
    </row>
    <row r="497" spans="3:27" s="19" customFormat="1">
      <c r="C497" s="21"/>
      <c r="Z497" s="990"/>
      <c r="AA497" s="986"/>
    </row>
    <row r="498" spans="3:27" s="19" customFormat="1">
      <c r="C498" s="21"/>
      <c r="Z498" s="990"/>
      <c r="AA498" s="986"/>
    </row>
    <row r="499" spans="3:27" s="19" customFormat="1">
      <c r="C499" s="21"/>
      <c r="Z499" s="990"/>
      <c r="AA499" s="986"/>
    </row>
    <row r="500" spans="3:27" s="19" customFormat="1">
      <c r="C500" s="21"/>
      <c r="Z500" s="990"/>
      <c r="AA500" s="986"/>
    </row>
    <row r="501" spans="3:27" s="19" customFormat="1">
      <c r="C501" s="21"/>
      <c r="Z501" s="990"/>
      <c r="AA501" s="986"/>
    </row>
    <row r="502" spans="3:27" s="19" customFormat="1">
      <c r="C502" s="21"/>
      <c r="Z502" s="990"/>
      <c r="AA502" s="986"/>
    </row>
    <row r="503" spans="3:27" s="19" customFormat="1">
      <c r="C503" s="21"/>
      <c r="Z503" s="990"/>
      <c r="AA503" s="986"/>
    </row>
    <row r="504" spans="3:27" s="19" customFormat="1">
      <c r="C504" s="21"/>
      <c r="Z504" s="990"/>
      <c r="AA504" s="986"/>
    </row>
    <row r="505" spans="3:27" s="19" customFormat="1">
      <c r="C505" s="21"/>
      <c r="Z505" s="990"/>
      <c r="AA505" s="986"/>
    </row>
    <row r="506" spans="3:27" s="19" customFormat="1">
      <c r="C506" s="21"/>
      <c r="Z506" s="990"/>
      <c r="AA506" s="986"/>
    </row>
    <row r="507" spans="3:27" s="19" customFormat="1">
      <c r="C507" s="21"/>
      <c r="Z507" s="990"/>
      <c r="AA507" s="986"/>
    </row>
    <row r="508" spans="3:27" s="19" customFormat="1">
      <c r="C508" s="21"/>
      <c r="Z508" s="990"/>
      <c r="AA508" s="986"/>
    </row>
    <row r="509" spans="3:27" s="19" customFormat="1">
      <c r="C509" s="21"/>
      <c r="Z509" s="990"/>
      <c r="AA509" s="986"/>
    </row>
    <row r="510" spans="3:27" s="19" customFormat="1">
      <c r="C510" s="21"/>
      <c r="Z510" s="990"/>
      <c r="AA510" s="986"/>
    </row>
    <row r="511" spans="3:27" s="19" customFormat="1">
      <c r="C511" s="21"/>
      <c r="Z511" s="990"/>
      <c r="AA511" s="986"/>
    </row>
    <row r="512" spans="3:27" s="19" customFormat="1">
      <c r="C512" s="21"/>
      <c r="Z512" s="990"/>
      <c r="AA512" s="986"/>
    </row>
    <row r="513" spans="3:27" s="19" customFormat="1">
      <c r="C513" s="21"/>
      <c r="Z513" s="990"/>
      <c r="AA513" s="986"/>
    </row>
    <row r="514" spans="3:27" s="19" customFormat="1">
      <c r="C514" s="21"/>
      <c r="Z514" s="990"/>
      <c r="AA514" s="986"/>
    </row>
    <row r="515" spans="3:27" s="19" customFormat="1">
      <c r="C515" s="21"/>
      <c r="Z515" s="990"/>
      <c r="AA515" s="986"/>
    </row>
    <row r="516" spans="3:27" s="19" customFormat="1">
      <c r="C516" s="21"/>
      <c r="Z516" s="990"/>
      <c r="AA516" s="986"/>
    </row>
    <row r="517" spans="3:27" s="19" customFormat="1">
      <c r="C517" s="21"/>
      <c r="Z517" s="990"/>
      <c r="AA517" s="986"/>
    </row>
    <row r="518" spans="3:27" s="19" customFormat="1">
      <c r="C518" s="21"/>
      <c r="Z518" s="990"/>
      <c r="AA518" s="986"/>
    </row>
    <row r="519" spans="3:27" s="19" customFormat="1">
      <c r="C519" s="21"/>
      <c r="Z519" s="990"/>
      <c r="AA519" s="986"/>
    </row>
    <row r="520" spans="3:27" s="19" customFormat="1">
      <c r="C520" s="21"/>
      <c r="Z520" s="990"/>
      <c r="AA520" s="986"/>
    </row>
    <row r="521" spans="3:27" s="19" customFormat="1">
      <c r="C521" s="21"/>
      <c r="Z521" s="990"/>
      <c r="AA521" s="986"/>
    </row>
    <row r="522" spans="3:27" s="19" customFormat="1">
      <c r="C522" s="21"/>
      <c r="Z522" s="990"/>
      <c r="AA522" s="986"/>
    </row>
    <row r="523" spans="3:27" s="19" customFormat="1">
      <c r="C523" s="21"/>
      <c r="Z523" s="990"/>
      <c r="AA523" s="986"/>
    </row>
    <row r="524" spans="3:27" s="19" customFormat="1">
      <c r="C524" s="21"/>
      <c r="Z524" s="990"/>
      <c r="AA524" s="986"/>
    </row>
    <row r="525" spans="3:27" s="19" customFormat="1">
      <c r="C525" s="21"/>
      <c r="Z525" s="990"/>
      <c r="AA525" s="986"/>
    </row>
    <row r="526" spans="3:27" s="19" customFormat="1">
      <c r="C526" s="21"/>
      <c r="Z526" s="990"/>
      <c r="AA526" s="986"/>
    </row>
    <row r="527" spans="3:27" s="19" customFormat="1">
      <c r="C527" s="21"/>
      <c r="Z527" s="990"/>
      <c r="AA527" s="986"/>
    </row>
    <row r="528" spans="3:27" s="19" customFormat="1">
      <c r="C528" s="21"/>
      <c r="Z528" s="990"/>
      <c r="AA528" s="986"/>
    </row>
    <row r="529" spans="3:27" s="19" customFormat="1">
      <c r="C529" s="21"/>
      <c r="Z529" s="990"/>
      <c r="AA529" s="986"/>
    </row>
    <row r="530" spans="3:27" s="19" customFormat="1">
      <c r="C530" s="21"/>
      <c r="Z530" s="990"/>
      <c r="AA530" s="986"/>
    </row>
    <row r="531" spans="3:27" s="19" customFormat="1">
      <c r="C531" s="21"/>
      <c r="Z531" s="990"/>
      <c r="AA531" s="986"/>
    </row>
    <row r="532" spans="3:27" s="19" customFormat="1">
      <c r="C532" s="21"/>
      <c r="Z532" s="990"/>
      <c r="AA532" s="986"/>
    </row>
    <row r="533" spans="3:27" s="19" customFormat="1">
      <c r="C533" s="21"/>
      <c r="Z533" s="990"/>
      <c r="AA533" s="986"/>
    </row>
    <row r="534" spans="3:27" s="19" customFormat="1">
      <c r="C534" s="21"/>
      <c r="Z534" s="990"/>
      <c r="AA534" s="986"/>
    </row>
    <row r="535" spans="3:27" s="19" customFormat="1">
      <c r="C535" s="21"/>
      <c r="Z535" s="990"/>
      <c r="AA535" s="986"/>
    </row>
    <row r="536" spans="3:27" s="19" customFormat="1">
      <c r="C536" s="21"/>
      <c r="Z536" s="990"/>
      <c r="AA536" s="986"/>
    </row>
    <row r="537" spans="3:27" s="19" customFormat="1">
      <c r="C537" s="21"/>
      <c r="Z537" s="990"/>
      <c r="AA537" s="986"/>
    </row>
    <row r="538" spans="3:27" s="19" customFormat="1">
      <c r="C538" s="21"/>
      <c r="Z538" s="990"/>
      <c r="AA538" s="986"/>
    </row>
    <row r="539" spans="3:27" s="19" customFormat="1">
      <c r="C539" s="21"/>
      <c r="Z539" s="990"/>
      <c r="AA539" s="986"/>
    </row>
    <row r="540" spans="3:27" s="19" customFormat="1">
      <c r="C540" s="21"/>
      <c r="Z540" s="990"/>
      <c r="AA540" s="986"/>
    </row>
    <row r="541" spans="3:27" s="19" customFormat="1">
      <c r="C541" s="21"/>
      <c r="Z541" s="990"/>
      <c r="AA541" s="986"/>
    </row>
    <row r="542" spans="3:27" s="19" customFormat="1">
      <c r="C542" s="21"/>
      <c r="Z542" s="990"/>
      <c r="AA542" s="986"/>
    </row>
    <row r="543" spans="3:27" s="19" customFormat="1">
      <c r="C543" s="21"/>
      <c r="Z543" s="990"/>
      <c r="AA543" s="986"/>
    </row>
    <row r="544" spans="3:27" s="19" customFormat="1">
      <c r="C544" s="21"/>
      <c r="Z544" s="990"/>
      <c r="AA544" s="986"/>
    </row>
    <row r="545" spans="3:27" s="19" customFormat="1">
      <c r="C545" s="21"/>
      <c r="Z545" s="990"/>
      <c r="AA545" s="986"/>
    </row>
    <row r="546" spans="3:27" s="19" customFormat="1">
      <c r="C546" s="21"/>
      <c r="Z546" s="990"/>
      <c r="AA546" s="986"/>
    </row>
    <row r="547" spans="3:27" s="19" customFormat="1">
      <c r="C547" s="21"/>
      <c r="Z547" s="990"/>
      <c r="AA547" s="986"/>
    </row>
    <row r="548" spans="3:27" s="19" customFormat="1">
      <c r="C548" s="21"/>
      <c r="Z548" s="990"/>
      <c r="AA548" s="986"/>
    </row>
    <row r="549" spans="3:27" s="19" customFormat="1">
      <c r="C549" s="21"/>
      <c r="Z549" s="990"/>
      <c r="AA549" s="986"/>
    </row>
    <row r="550" spans="3:27" s="19" customFormat="1">
      <c r="C550" s="21"/>
      <c r="Z550" s="990"/>
      <c r="AA550" s="986"/>
    </row>
    <row r="551" spans="3:27" s="19" customFormat="1">
      <c r="C551" s="21"/>
      <c r="Z551" s="990"/>
      <c r="AA551" s="986"/>
    </row>
    <row r="552" spans="3:27" s="19" customFormat="1">
      <c r="C552" s="21"/>
      <c r="Z552" s="990"/>
      <c r="AA552" s="986"/>
    </row>
    <row r="553" spans="3:27" s="19" customFormat="1">
      <c r="C553" s="21"/>
      <c r="Z553" s="990"/>
      <c r="AA553" s="986"/>
    </row>
    <row r="554" spans="3:27" s="19" customFormat="1">
      <c r="C554" s="21"/>
      <c r="Z554" s="990"/>
      <c r="AA554" s="986"/>
    </row>
    <row r="555" spans="3:27" s="19" customFormat="1">
      <c r="C555" s="21"/>
      <c r="Z555" s="990"/>
      <c r="AA555" s="986"/>
    </row>
    <row r="556" spans="3:27" s="19" customFormat="1">
      <c r="C556" s="21"/>
      <c r="Z556" s="990"/>
      <c r="AA556" s="986"/>
    </row>
    <row r="557" spans="3:27" s="19" customFormat="1">
      <c r="C557" s="21"/>
      <c r="Z557" s="990"/>
      <c r="AA557" s="986"/>
    </row>
    <row r="558" spans="3:27" s="19" customFormat="1">
      <c r="C558" s="21"/>
      <c r="Z558" s="990"/>
      <c r="AA558" s="986"/>
    </row>
    <row r="559" spans="3:27" s="19" customFormat="1">
      <c r="C559" s="21"/>
      <c r="Z559" s="990"/>
      <c r="AA559" s="986"/>
    </row>
    <row r="560" spans="3:27" s="19" customFormat="1">
      <c r="C560" s="21"/>
      <c r="Z560" s="990"/>
      <c r="AA560" s="986"/>
    </row>
    <row r="561" spans="3:27" s="19" customFormat="1">
      <c r="C561" s="21"/>
      <c r="Z561" s="990"/>
      <c r="AA561" s="986"/>
    </row>
    <row r="562" spans="3:27" s="19" customFormat="1">
      <c r="C562" s="21"/>
      <c r="Z562" s="990"/>
      <c r="AA562" s="986"/>
    </row>
    <row r="563" spans="3:27" s="19" customFormat="1">
      <c r="C563" s="21"/>
      <c r="Z563" s="990"/>
      <c r="AA563" s="986"/>
    </row>
    <row r="564" spans="3:27" s="19" customFormat="1">
      <c r="C564" s="21"/>
      <c r="Z564" s="990"/>
      <c r="AA564" s="986"/>
    </row>
    <row r="565" spans="3:27" s="19" customFormat="1">
      <c r="C565" s="21"/>
      <c r="Z565" s="990"/>
      <c r="AA565" s="986"/>
    </row>
    <row r="566" spans="3:27" s="19" customFormat="1">
      <c r="C566" s="21"/>
      <c r="Z566" s="990"/>
      <c r="AA566" s="986"/>
    </row>
    <row r="567" spans="3:27" s="19" customFormat="1">
      <c r="C567" s="21"/>
      <c r="Z567" s="990"/>
      <c r="AA567" s="986"/>
    </row>
    <row r="568" spans="3:27" s="19" customFormat="1">
      <c r="C568" s="21"/>
      <c r="Z568" s="990"/>
      <c r="AA568" s="986"/>
    </row>
    <row r="569" spans="3:27" s="19" customFormat="1">
      <c r="C569" s="21"/>
      <c r="Z569" s="990"/>
      <c r="AA569" s="986"/>
    </row>
    <row r="570" spans="3:27" s="19" customFormat="1">
      <c r="C570" s="21"/>
      <c r="Z570" s="990"/>
      <c r="AA570" s="986"/>
    </row>
    <row r="571" spans="3:27" s="19" customFormat="1">
      <c r="C571" s="21"/>
      <c r="Z571" s="990"/>
      <c r="AA571" s="986"/>
    </row>
    <row r="572" spans="3:27" s="19" customFormat="1">
      <c r="C572" s="21"/>
      <c r="Z572" s="990"/>
      <c r="AA572" s="986"/>
    </row>
    <row r="573" spans="3:27" s="19" customFormat="1">
      <c r="C573" s="21"/>
      <c r="Z573" s="990"/>
      <c r="AA573" s="986"/>
    </row>
    <row r="574" spans="3:27" s="19" customFormat="1">
      <c r="C574" s="21"/>
      <c r="Z574" s="990"/>
      <c r="AA574" s="986"/>
    </row>
    <row r="575" spans="3:27" s="19" customFormat="1">
      <c r="C575" s="21"/>
      <c r="Z575" s="990"/>
      <c r="AA575" s="986"/>
    </row>
    <row r="576" spans="3:27" s="19" customFormat="1">
      <c r="C576" s="21"/>
      <c r="Z576" s="990"/>
      <c r="AA576" s="986"/>
    </row>
    <row r="577" spans="3:27" s="19" customFormat="1">
      <c r="C577" s="21"/>
      <c r="Z577" s="990"/>
      <c r="AA577" s="986"/>
    </row>
    <row r="578" spans="3:27" s="19" customFormat="1">
      <c r="C578" s="21"/>
      <c r="Z578" s="990"/>
      <c r="AA578" s="986"/>
    </row>
    <row r="579" spans="3:27" s="19" customFormat="1">
      <c r="C579" s="21"/>
      <c r="Z579" s="990"/>
      <c r="AA579" s="986"/>
    </row>
    <row r="580" spans="3:27" s="19" customFormat="1">
      <c r="C580" s="21"/>
      <c r="Z580" s="990"/>
      <c r="AA580" s="986"/>
    </row>
    <row r="581" spans="3:27" s="19" customFormat="1">
      <c r="C581" s="21"/>
      <c r="Z581" s="990"/>
      <c r="AA581" s="986"/>
    </row>
    <row r="582" spans="3:27" s="19" customFormat="1">
      <c r="C582" s="21"/>
      <c r="Z582" s="990"/>
      <c r="AA582" s="986"/>
    </row>
    <row r="583" spans="3:27" s="19" customFormat="1">
      <c r="C583" s="21"/>
      <c r="Z583" s="990"/>
      <c r="AA583" s="986"/>
    </row>
    <row r="584" spans="3:27" s="19" customFormat="1">
      <c r="C584" s="21"/>
      <c r="Z584" s="990"/>
      <c r="AA584" s="986"/>
    </row>
    <row r="585" spans="3:27" s="19" customFormat="1">
      <c r="C585" s="21"/>
      <c r="Z585" s="990"/>
      <c r="AA585" s="986"/>
    </row>
    <row r="586" spans="3:27" s="19" customFormat="1">
      <c r="C586" s="21"/>
      <c r="Z586" s="990"/>
      <c r="AA586" s="986"/>
    </row>
    <row r="587" spans="3:27" s="19" customFormat="1">
      <c r="C587" s="21"/>
      <c r="Z587" s="990"/>
      <c r="AA587" s="986"/>
    </row>
    <row r="588" spans="3:27" s="19" customFormat="1">
      <c r="C588" s="21"/>
      <c r="Z588" s="990"/>
      <c r="AA588" s="986"/>
    </row>
    <row r="589" spans="3:27" s="19" customFormat="1">
      <c r="C589" s="21"/>
      <c r="Z589" s="990"/>
      <c r="AA589" s="986"/>
    </row>
    <row r="590" spans="3:27" s="19" customFormat="1">
      <c r="C590" s="21"/>
      <c r="Z590" s="990"/>
      <c r="AA590" s="986"/>
    </row>
    <row r="591" spans="3:27" s="19" customFormat="1">
      <c r="C591" s="21"/>
      <c r="Z591" s="990"/>
      <c r="AA591" s="986"/>
    </row>
    <row r="592" spans="3:27" s="19" customFormat="1">
      <c r="C592" s="21"/>
      <c r="Z592" s="990"/>
      <c r="AA592" s="986"/>
    </row>
    <row r="593" spans="3:27" s="19" customFormat="1">
      <c r="C593" s="21"/>
      <c r="Z593" s="990"/>
      <c r="AA593" s="986"/>
    </row>
    <row r="594" spans="3:27" s="19" customFormat="1">
      <c r="C594" s="21"/>
      <c r="Z594" s="990"/>
      <c r="AA594" s="986"/>
    </row>
    <row r="595" spans="3:27" s="19" customFormat="1">
      <c r="C595" s="21"/>
      <c r="Z595" s="990"/>
      <c r="AA595" s="986"/>
    </row>
    <row r="596" spans="3:27" s="19" customFormat="1">
      <c r="C596" s="21"/>
      <c r="Z596" s="990"/>
      <c r="AA596" s="986"/>
    </row>
    <row r="597" spans="3:27" s="19" customFormat="1">
      <c r="C597" s="21"/>
      <c r="Z597" s="990"/>
      <c r="AA597" s="986"/>
    </row>
    <row r="598" spans="3:27" s="19" customFormat="1">
      <c r="C598" s="21"/>
      <c r="Z598" s="990"/>
      <c r="AA598" s="986"/>
    </row>
    <row r="599" spans="3:27" s="19" customFormat="1">
      <c r="C599" s="21"/>
      <c r="Z599" s="990"/>
      <c r="AA599" s="986"/>
    </row>
  </sheetData>
  <sheetProtection password="EAD7" sheet="1" objects="1" scenarios="1"/>
  <mergeCells count="5">
    <mergeCell ref="F9:H9"/>
    <mergeCell ref="D10:E10"/>
    <mergeCell ref="N9:P9"/>
    <mergeCell ref="L2:M2"/>
    <mergeCell ref="I2:J2"/>
  </mergeCells>
  <hyperlinks>
    <hyperlink ref="L2" location="Startseite!C7" display="zurück zur Startseite" xr:uid="{00000000-0004-0000-0900-000000000000}"/>
    <hyperlink ref="I2" location="Rentabilität!B8" display="zur Rentabilitätsberechnung" xr:uid="{00000000-0004-0000-0900-000001000000}"/>
    <hyperlink ref="I2:J2" location="Rentabilität!D11" display="zur Rentabilitätsberechnung" xr:uid="{00000000-0004-0000-0900-000002000000}"/>
  </hyperlinks>
  <printOptions horizontalCentered="1"/>
  <pageMargins left="0.23622047244094491" right="0.23622047244094491" top="0.78740157480314965" bottom="0.47244094488188981" header="0.51181102362204722" footer="0.31496062992125984"/>
  <pageSetup paperSize="9" scale="85"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713" r:id="rId4" name="Button 89">
              <controlPr defaultSize="0" print="0" autoFill="0" autoPict="0" macro="[0]!PersKostMitarbProdAusblenden">
                <anchor moveWithCells="1" sizeWithCells="1">
                  <from>
                    <xdr:col>5</xdr:col>
                    <xdr:colOff>114300</xdr:colOff>
                    <xdr:row>14</xdr:row>
                    <xdr:rowOff>60960</xdr:rowOff>
                  </from>
                  <to>
                    <xdr:col>5</xdr:col>
                    <xdr:colOff>114300</xdr:colOff>
                    <xdr:row>14</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900-000000000000}">
          <x14:formula1>
            <xm:f>DATE(YEAR(Startseite!$D$16)+2,MONTH(Startseite!$D$16),DAY(Startseite!$D$16))</xm:f>
          </x14:formula1>
          <x14:formula2>
            <xm:f>EOMONTH(DATE(YEAR(Startseite!$D$16)+2,MONTH(Startseite!$D$16),DAY(Startseite!$D$16)),11)</xm:f>
          </x14:formula2>
          <xm:sqref>D15:E38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theme="4" tint="0.79998168889431442"/>
    <pageSetUpPr fitToPage="1"/>
  </sheetPr>
  <dimension ref="A2:W94"/>
  <sheetViews>
    <sheetView showGridLines="0" zoomScaleNormal="100" workbookViewId="0">
      <selection activeCell="C10" sqref="C10"/>
    </sheetView>
  </sheetViews>
  <sheetFormatPr baseColWidth="10" defaultColWidth="11.44140625" defaultRowHeight="13.2" outlineLevelRow="1"/>
  <cols>
    <col min="1" max="1" width="29.6640625" style="2" customWidth="1"/>
    <col min="2" max="2" width="22.88671875" style="2" customWidth="1"/>
    <col min="3" max="3" width="10.33203125" style="2" customWidth="1"/>
    <col min="4" max="4" width="9.109375" style="2" customWidth="1"/>
    <col min="5" max="5" width="10.33203125" style="2" customWidth="1"/>
    <col min="6" max="6" width="8.33203125" style="2" customWidth="1"/>
    <col min="7" max="7" width="10.33203125" style="2" customWidth="1"/>
    <col min="8" max="8" width="8.6640625" style="2" customWidth="1"/>
    <col min="9" max="9" width="11.44140625" style="2"/>
    <col min="10" max="10" width="24.5546875" style="2" customWidth="1"/>
    <col min="11" max="16384" width="11.44140625" style="2"/>
  </cols>
  <sheetData>
    <row r="2" spans="1:23">
      <c r="C2" s="1146" t="s">
        <v>503</v>
      </c>
      <c r="D2" s="1151"/>
      <c r="E2" s="1147"/>
      <c r="G2" s="1144" t="s">
        <v>502</v>
      </c>
      <c r="H2" s="1145"/>
    </row>
    <row r="3" spans="1:23" ht="13.5" customHeight="1">
      <c r="A3" s="63"/>
      <c r="B3" s="132"/>
      <c r="C3" s="132"/>
      <c r="D3" s="132"/>
      <c r="E3" s="346"/>
      <c r="F3" s="63"/>
      <c r="G3" s="63"/>
      <c r="H3" s="63"/>
      <c r="I3" s="63"/>
      <c r="J3" s="63"/>
      <c r="K3" s="63"/>
      <c r="L3" s="63"/>
      <c r="M3" s="63"/>
      <c r="N3" s="63"/>
      <c r="O3" s="63"/>
      <c r="P3" s="63"/>
      <c r="Q3" s="63"/>
      <c r="R3" s="63"/>
      <c r="S3" s="63"/>
      <c r="T3" s="63"/>
      <c r="U3" s="63"/>
      <c r="V3" s="63"/>
      <c r="W3" s="63"/>
    </row>
    <row r="4" spans="1:23" ht="14.25" customHeight="1">
      <c r="A4" s="116" t="str">
        <f xml:space="preserve"> CONCATENATE( "übrige Kosten des Unternehmens:  ", Startseite!C14)</f>
        <v xml:space="preserve">übrige Kosten des Unternehmens:  </v>
      </c>
      <c r="B4" s="132"/>
      <c r="C4" s="132"/>
      <c r="D4" s="132"/>
      <c r="E4" s="346"/>
      <c r="F4" s="63"/>
      <c r="G4" s="63"/>
      <c r="H4" s="63"/>
      <c r="I4" s="63"/>
      <c r="J4" s="63"/>
      <c r="K4" s="63"/>
      <c r="L4" s="63"/>
      <c r="M4" s="63"/>
      <c r="N4" s="63"/>
      <c r="O4" s="63"/>
      <c r="P4" s="63"/>
      <c r="Q4" s="63"/>
      <c r="R4" s="63"/>
      <c r="S4" s="63"/>
      <c r="T4" s="63"/>
      <c r="U4" s="63"/>
      <c r="V4" s="63"/>
      <c r="W4" s="63"/>
    </row>
    <row r="5" spans="1:23">
      <c r="A5" s="63"/>
      <c r="B5" s="63"/>
      <c r="C5" s="63"/>
      <c r="D5" s="63"/>
      <c r="E5" s="63"/>
      <c r="F5" s="63"/>
      <c r="G5" s="63"/>
      <c r="H5" s="63"/>
      <c r="I5" s="63"/>
      <c r="J5" s="63"/>
      <c r="K5" s="63"/>
      <c r="L5" s="63"/>
      <c r="M5" s="63"/>
      <c r="N5" s="63"/>
      <c r="O5" s="63"/>
      <c r="P5" s="63"/>
      <c r="Q5" s="63"/>
      <c r="R5" s="63"/>
      <c r="S5" s="63"/>
      <c r="T5" s="63"/>
      <c r="U5" s="63"/>
      <c r="V5" s="63"/>
      <c r="W5" s="63"/>
    </row>
    <row r="6" spans="1:23">
      <c r="A6" s="347"/>
      <c r="B6" s="348"/>
      <c r="C6" s="349" t="s">
        <v>19</v>
      </c>
      <c r="D6" s="350"/>
      <c r="E6" s="349" t="s">
        <v>20</v>
      </c>
      <c r="F6" s="350"/>
      <c r="G6" s="349" t="s">
        <v>21</v>
      </c>
      <c r="H6" s="350"/>
      <c r="I6" s="63"/>
      <c r="J6" s="261"/>
      <c r="K6" s="261"/>
      <c r="L6" s="261"/>
      <c r="M6" s="261"/>
      <c r="N6" s="63"/>
      <c r="O6" s="63"/>
      <c r="P6" s="63"/>
      <c r="Q6" s="63"/>
      <c r="R6" s="63"/>
      <c r="S6" s="63"/>
      <c r="T6" s="63"/>
      <c r="U6" s="63"/>
      <c r="V6" s="63"/>
      <c r="W6" s="63"/>
    </row>
    <row r="7" spans="1:23">
      <c r="A7" s="351"/>
      <c r="B7" s="352"/>
      <c r="C7" s="1152" t="str">
        <f>CONCATENATE("(",TEXT('Personalkosten 1. Jahr'!$M$4,"MMM. JJJJ")," - ",TEXT('Personalkosten 1. Jahr'!$O$4,"MMM. JJJJ"),")")</f>
        <v>(Nov. 2024 - Okt. 2025)</v>
      </c>
      <c r="D7" s="1153"/>
      <c r="E7" s="1152" t="str">
        <f>CONCATENATE("(",TEXT('Personalkosten 2. Jahr'!$K$4,"MMM. JJJJ")," - ",TEXT('Personalkosten 2. Jahr'!$M$4,"MMM. JJJJ"),")")</f>
        <v>(Nov. 2025 - Okt. 2026)</v>
      </c>
      <c r="F7" s="1153"/>
      <c r="G7" s="1152" t="str">
        <f>CONCATENATE("(",TEXT('Personalkosten 3. Jahr'!$K$4,"MMM. JJJJ")," - ",TEXT('Personalkosten 3. Jahr'!$M$4,"MMM. JJJJ"),")")</f>
        <v>(Nov. 2026 - Okt. 2027)</v>
      </c>
      <c r="H7" s="1153"/>
      <c r="I7" s="63"/>
      <c r="K7" s="261"/>
      <c r="L7" s="261"/>
      <c r="M7" s="261"/>
      <c r="N7" s="63"/>
      <c r="O7" s="63"/>
      <c r="P7" s="63"/>
      <c r="Q7" s="63"/>
      <c r="R7" s="63"/>
      <c r="S7" s="63"/>
      <c r="T7" s="63"/>
      <c r="U7" s="63"/>
      <c r="V7" s="63"/>
      <c r="W7" s="63"/>
    </row>
    <row r="8" spans="1:23">
      <c r="A8" s="95" t="s">
        <v>447</v>
      </c>
      <c r="B8" s="352"/>
      <c r="C8" s="1154" t="s">
        <v>29</v>
      </c>
      <c r="D8" s="1154" t="s">
        <v>1</v>
      </c>
      <c r="E8" s="1154" t="s">
        <v>29</v>
      </c>
      <c r="F8" s="1154" t="s">
        <v>1</v>
      </c>
      <c r="G8" s="1154" t="s">
        <v>29</v>
      </c>
      <c r="H8" s="1154" t="s">
        <v>1</v>
      </c>
      <c r="I8" s="63"/>
      <c r="J8" s="262"/>
      <c r="K8" s="261"/>
      <c r="L8" s="261"/>
      <c r="M8" s="261"/>
      <c r="N8" s="63"/>
      <c r="O8" s="63"/>
      <c r="P8" s="63"/>
      <c r="Q8" s="63"/>
      <c r="R8" s="63"/>
      <c r="S8" s="63"/>
      <c r="T8" s="63"/>
      <c r="U8" s="63"/>
      <c r="V8" s="63"/>
      <c r="W8" s="63"/>
    </row>
    <row r="9" spans="1:23">
      <c r="A9" s="354"/>
      <c r="B9" s="221"/>
      <c r="C9" s="1155"/>
      <c r="D9" s="1155"/>
      <c r="E9" s="1155"/>
      <c r="F9" s="1155"/>
      <c r="G9" s="1155"/>
      <c r="H9" s="1155"/>
      <c r="I9" s="63"/>
      <c r="K9" s="261"/>
      <c r="L9" s="261"/>
      <c r="M9" s="261"/>
      <c r="N9" s="63"/>
      <c r="O9" s="63"/>
      <c r="P9" s="63"/>
      <c r="Q9" s="63"/>
      <c r="R9" s="63"/>
      <c r="S9" s="63"/>
      <c r="T9" s="63"/>
      <c r="U9" s="63"/>
      <c r="V9" s="63"/>
      <c r="W9" s="63"/>
    </row>
    <row r="10" spans="1:23">
      <c r="A10" s="355" t="s">
        <v>76</v>
      </c>
      <c r="B10" s="348"/>
      <c r="C10" s="808"/>
      <c r="D10" s="91" t="str">
        <f t="shared" ref="D10:D30" si="0">IF(OR(C10="",C$39=0),"",(C10/C$39*100))</f>
        <v/>
      </c>
      <c r="E10" s="808" t="str">
        <f>IF(C10="","",IF(Rentabilität!H22&gt;0,ROUND(C10*(1+(0*((Rentabilität!H22-Rentabilität!F22)/Rentabilität!F22))),-1),'übrige Kosten'!C10))</f>
        <v/>
      </c>
      <c r="F10" s="91" t="str">
        <f t="shared" ref="F10:F30" si="1">IF(OR(E10="",E$39=0),"",(E10/E$39*100))</f>
        <v/>
      </c>
      <c r="G10" s="808" t="str">
        <f>IF(E10="","",IF(Rentabilität!$J$22&gt;0,ROUND(E10*(1+(0*((Rentabilität!$J$22-Rentabilität!$H$22)/Rentabilität!$H$22))),-1),'übrige Kosten'!E10))</f>
        <v/>
      </c>
      <c r="H10" s="91" t="str">
        <f t="shared" ref="H10:H30" si="2">IF(OR(G10="",G$39=0),"",(G10/G$39*100))</f>
        <v/>
      </c>
      <c r="I10" s="119"/>
      <c r="J10" s="63"/>
      <c r="K10" s="63"/>
      <c r="L10" s="63"/>
      <c r="M10" s="63"/>
      <c r="N10" s="63"/>
      <c r="O10" s="63"/>
      <c r="P10" s="63"/>
      <c r="Q10" s="63"/>
      <c r="R10" s="63"/>
      <c r="S10" s="63"/>
      <c r="T10" s="63"/>
      <c r="U10" s="63"/>
      <c r="V10" s="63"/>
      <c r="W10" s="63"/>
    </row>
    <row r="11" spans="1:23">
      <c r="A11" s="356" t="s">
        <v>40</v>
      </c>
      <c r="B11" s="357"/>
      <c r="C11" s="808"/>
      <c r="D11" s="91" t="str">
        <f t="shared" si="0"/>
        <v/>
      </c>
      <c r="E11" s="808" t="str">
        <f>IF(C11="","",IF(Rentabilität!$H$22&gt;0,ROUND(C11*(1+(0.5*((Rentabilität!$H$22-Rentabilität!$F$22)/Rentabilität!$F$22))),-1),'übrige Kosten'!C11))</f>
        <v/>
      </c>
      <c r="F11" s="91" t="str">
        <f t="shared" si="1"/>
        <v/>
      </c>
      <c r="G11" s="808" t="str">
        <f>IF(E11="","",IF(Rentabilität!$J$22&gt;0,ROUND(E11*(1+(0.5*((Rentabilität!$J$22-Rentabilität!$H$22)/Rentabilität!$H$22))),-1),'übrige Kosten'!E11))</f>
        <v/>
      </c>
      <c r="H11" s="91" t="str">
        <f t="shared" si="2"/>
        <v/>
      </c>
      <c r="I11" s="119"/>
      <c r="J11" s="63"/>
      <c r="K11" s="63"/>
      <c r="L11" s="63"/>
      <c r="M11" s="63"/>
      <c r="N11" s="63"/>
      <c r="O11" s="63"/>
      <c r="P11" s="63"/>
      <c r="Q11" s="63"/>
      <c r="R11" s="63"/>
      <c r="S11" s="63"/>
      <c r="T11" s="63"/>
      <c r="U11" s="63"/>
      <c r="V11" s="63"/>
      <c r="W11" s="63"/>
    </row>
    <row r="12" spans="1:23">
      <c r="A12" s="356" t="s">
        <v>37</v>
      </c>
      <c r="B12" s="357"/>
      <c r="C12" s="808"/>
      <c r="D12" s="91" t="str">
        <f t="shared" si="0"/>
        <v/>
      </c>
      <c r="E12" s="808" t="str">
        <f>IF(C12="","",IF(Rentabilität!$H$22&gt;0,ROUND(C12*(1+(0.2*((Rentabilität!$H$22-Rentabilität!$F$22)/Rentabilität!$F$22))),-1),'übrige Kosten'!C12))</f>
        <v/>
      </c>
      <c r="F12" s="91" t="str">
        <f t="shared" si="1"/>
        <v/>
      </c>
      <c r="G12" s="808" t="str">
        <f>IF(E12="","",IF(Rentabilität!$J$22&gt;0,ROUND(E12*(1+(0.2*((Rentabilität!$J$22-Rentabilität!$H$22)/Rentabilität!$H$22))),-1),'übrige Kosten'!E12))</f>
        <v/>
      </c>
      <c r="H12" s="91" t="str">
        <f t="shared" si="2"/>
        <v/>
      </c>
      <c r="I12" s="119"/>
      <c r="J12" s="63"/>
      <c r="K12" s="63"/>
      <c r="L12" s="63"/>
      <c r="M12" s="63"/>
      <c r="N12" s="63"/>
      <c r="O12" s="63"/>
      <c r="P12" s="63"/>
      <c r="Q12" s="63"/>
      <c r="R12" s="63"/>
      <c r="S12" s="63"/>
      <c r="T12" s="63"/>
      <c r="U12" s="63"/>
      <c r="V12" s="63"/>
      <c r="W12" s="63"/>
    </row>
    <row r="13" spans="1:23">
      <c r="A13" s="356" t="s">
        <v>393</v>
      </c>
      <c r="B13" s="352"/>
      <c r="C13" s="808"/>
      <c r="D13" s="91" t="str">
        <f t="shared" si="0"/>
        <v/>
      </c>
      <c r="E13" s="808" t="str">
        <f>IF(C13="","",IF(Rentabilität!$H$22&gt;0,ROUND(C13*(1+(0.75*((Rentabilität!$H$22-Rentabilität!$F$22)/Rentabilität!$F$22))),-1),'übrige Kosten'!C13))</f>
        <v/>
      </c>
      <c r="F13" s="91" t="str">
        <f t="shared" si="1"/>
        <v/>
      </c>
      <c r="G13" s="808" t="str">
        <f>IF(E13="","",IF(Rentabilität!$J$22&gt;0,ROUND(E13*(1+(0.75*((Rentabilität!$J$22-Rentabilität!$H$22)/Rentabilität!$H$22))),-1),'übrige Kosten'!E13))</f>
        <v/>
      </c>
      <c r="H13" s="91" t="str">
        <f t="shared" si="2"/>
        <v/>
      </c>
      <c r="I13" s="119"/>
      <c r="J13" s="63"/>
      <c r="K13" s="63"/>
      <c r="L13" s="63"/>
      <c r="M13" s="63"/>
      <c r="N13" s="63"/>
      <c r="O13" s="63"/>
      <c r="P13" s="63"/>
      <c r="Q13" s="63"/>
      <c r="R13" s="63"/>
      <c r="S13" s="63"/>
      <c r="T13" s="63"/>
      <c r="U13" s="63"/>
      <c r="V13" s="63"/>
      <c r="W13" s="63"/>
    </row>
    <row r="14" spans="1:23">
      <c r="A14" s="356" t="s">
        <v>406</v>
      </c>
      <c r="B14" s="358"/>
      <c r="C14" s="809"/>
      <c r="D14" s="91" t="str">
        <f t="shared" si="0"/>
        <v/>
      </c>
      <c r="E14" s="808" t="str">
        <f>IF(C14="","",IF(Rentabilität!$H$22&gt;0,ROUND(C14*(1+(0.25*((Rentabilität!$H$22-Rentabilität!$F$22)/Rentabilität!$F$22))),-1),'übrige Kosten'!C14))</f>
        <v/>
      </c>
      <c r="F14" s="91" t="str">
        <f t="shared" si="1"/>
        <v/>
      </c>
      <c r="G14" s="808" t="str">
        <f>IF(E14="","",IF(Rentabilität!$J$22&gt;0,ROUND(E14*(1+(0.25*((Rentabilität!$J$22-Rentabilität!$H$22)/Rentabilität!$H$22))),-1),'übrige Kosten'!E14))</f>
        <v/>
      </c>
      <c r="H14" s="91" t="str">
        <f t="shared" si="2"/>
        <v/>
      </c>
      <c r="I14" s="359"/>
      <c r="J14" s="63"/>
      <c r="K14" s="63"/>
      <c r="L14" s="63"/>
      <c r="M14" s="63"/>
      <c r="N14" s="63"/>
      <c r="O14" s="63"/>
      <c r="P14" s="63"/>
      <c r="Q14" s="63"/>
      <c r="R14" s="63"/>
      <c r="S14" s="63"/>
      <c r="T14" s="63"/>
      <c r="U14" s="63"/>
      <c r="V14" s="63"/>
      <c r="W14" s="63"/>
    </row>
    <row r="15" spans="1:23">
      <c r="A15" s="356" t="s">
        <v>400</v>
      </c>
      <c r="B15" s="352"/>
      <c r="C15" s="808"/>
      <c r="D15" s="91" t="str">
        <f t="shared" si="0"/>
        <v/>
      </c>
      <c r="E15" s="808" t="str">
        <f>IF(C15="","",IF(Rentabilität!$H$22&gt;0,ROUND(C15*(1+(0.5*((Rentabilität!$H$22-Rentabilität!$F$22)/Rentabilität!$F$22))),-1),'übrige Kosten'!C15))</f>
        <v/>
      </c>
      <c r="F15" s="91" t="str">
        <f t="shared" si="1"/>
        <v/>
      </c>
      <c r="G15" s="808" t="str">
        <f>IF(E15="","",IF(Rentabilität!$J$22&gt;0,ROUND(E15*(1+(0.5*((Rentabilität!$J$22-Rentabilität!$H$22)/Rentabilität!$H$22))),-1),'übrige Kosten'!E15))</f>
        <v/>
      </c>
      <c r="H15" s="91" t="str">
        <f t="shared" si="2"/>
        <v/>
      </c>
      <c r="I15" s="119"/>
      <c r="J15" s="63"/>
      <c r="K15" s="63"/>
      <c r="L15" s="63"/>
      <c r="M15" s="63"/>
      <c r="N15" s="63"/>
      <c r="O15" s="63"/>
      <c r="P15" s="63"/>
      <c r="Q15" s="63"/>
      <c r="R15" s="63"/>
      <c r="S15" s="63"/>
      <c r="T15" s="63"/>
      <c r="U15" s="63"/>
      <c r="V15" s="63"/>
      <c r="W15" s="63"/>
    </row>
    <row r="16" spans="1:23">
      <c r="A16" s="356" t="s">
        <v>39</v>
      </c>
      <c r="B16" s="352"/>
      <c r="C16" s="360">
        <f>Kapitalbedarf!$I24</f>
        <v>0</v>
      </c>
      <c r="D16" s="91" t="str">
        <f t="shared" si="0"/>
        <v/>
      </c>
      <c r="E16" s="360">
        <f>Kapitalbedarf!$I24</f>
        <v>0</v>
      </c>
      <c r="F16" s="91" t="str">
        <f t="shared" si="1"/>
        <v/>
      </c>
      <c r="G16" s="360">
        <f>Kapitalbedarf!$I24</f>
        <v>0</v>
      </c>
      <c r="H16" s="91" t="str">
        <f t="shared" si="2"/>
        <v/>
      </c>
      <c r="I16" s="119"/>
      <c r="J16" s="63"/>
      <c r="K16" s="63"/>
      <c r="L16" s="63"/>
      <c r="M16" s="63"/>
      <c r="N16" s="63"/>
      <c r="O16" s="63"/>
      <c r="P16" s="63"/>
      <c r="Q16" s="63"/>
      <c r="R16" s="63"/>
      <c r="S16" s="63"/>
      <c r="T16" s="63"/>
      <c r="U16" s="63"/>
      <c r="V16" s="63"/>
      <c r="W16" s="63"/>
    </row>
    <row r="17" spans="1:23">
      <c r="A17" s="356" t="s">
        <v>401</v>
      </c>
      <c r="B17" s="352"/>
      <c r="C17" s="808"/>
      <c r="D17" s="91" t="str">
        <f t="shared" si="0"/>
        <v/>
      </c>
      <c r="E17" s="808" t="str">
        <f>IF(C17="","",IF(Rentabilität!$H$22&gt;0,ROUND(C17*(1+(0.5*((Rentabilität!$H$22-Rentabilität!$F$22)/Rentabilität!$F$22))),-1),'übrige Kosten'!C17))</f>
        <v/>
      </c>
      <c r="F17" s="91" t="str">
        <f t="shared" si="1"/>
        <v/>
      </c>
      <c r="G17" s="808" t="str">
        <f>IF(E17="","",IF(Rentabilität!$J$22&gt;0,ROUND(E17*(1+(0.5*((Rentabilität!$J$22-Rentabilität!$H$22)/Rentabilität!$H$22))),-1),'übrige Kosten'!E17))</f>
        <v/>
      </c>
      <c r="H17" s="91" t="str">
        <f t="shared" si="2"/>
        <v/>
      </c>
      <c r="I17" s="119"/>
      <c r="J17" s="63"/>
      <c r="K17" s="63"/>
      <c r="L17" s="63"/>
      <c r="M17" s="63"/>
      <c r="N17" s="63"/>
      <c r="O17" s="63"/>
      <c r="P17" s="63"/>
      <c r="Q17" s="63"/>
      <c r="R17" s="63"/>
      <c r="S17" s="63"/>
      <c r="T17" s="63"/>
      <c r="U17" s="63"/>
      <c r="V17" s="63"/>
      <c r="W17" s="63"/>
    </row>
    <row r="18" spans="1:23" outlineLevel="1">
      <c r="A18" s="356" t="s">
        <v>395</v>
      </c>
      <c r="B18" s="352"/>
      <c r="C18" s="808"/>
      <c r="D18" s="91" t="str">
        <f t="shared" si="0"/>
        <v/>
      </c>
      <c r="E18" s="808" t="str">
        <f>IF(C18="","",IF(Rentabilität!$H$22&gt;0,ROUND(C18*(1+(0.3*((Rentabilität!$H$22-Rentabilität!$F$22)/Rentabilität!$F$22))),-1),'übrige Kosten'!C18))</f>
        <v/>
      </c>
      <c r="F18" s="91" t="str">
        <f t="shared" si="1"/>
        <v/>
      </c>
      <c r="G18" s="808" t="str">
        <f>IF(E18="","",IF(Rentabilität!$J$22&gt;0,ROUND(E18*(1+(0.3*((Rentabilität!$J$22-Rentabilität!$H$22)/Rentabilität!$H$22))),-1),'übrige Kosten'!E18))</f>
        <v/>
      </c>
      <c r="H18" s="91" t="str">
        <f t="shared" si="2"/>
        <v/>
      </c>
      <c r="I18" s="119"/>
      <c r="J18" s="63"/>
      <c r="K18" s="63"/>
      <c r="L18" s="63"/>
      <c r="M18" s="63"/>
      <c r="N18" s="63"/>
      <c r="O18" s="63"/>
      <c r="P18" s="63"/>
      <c r="Q18" s="63"/>
      <c r="R18" s="63"/>
      <c r="S18" s="63"/>
      <c r="T18" s="63"/>
      <c r="U18" s="63"/>
      <c r="V18" s="63"/>
      <c r="W18" s="63"/>
    </row>
    <row r="19" spans="1:23" outlineLevel="1">
      <c r="A19" s="356" t="s">
        <v>394</v>
      </c>
      <c r="B19" s="352"/>
      <c r="C19" s="808"/>
      <c r="D19" s="91" t="str">
        <f t="shared" si="0"/>
        <v/>
      </c>
      <c r="E19" s="808" t="str">
        <f>IF(C19="","",IF(Rentabilität!$H$22&gt;0,ROUND(C19*(1+(0.3*((Rentabilität!$H$22-Rentabilität!$F$22)/Rentabilität!$F$22))),-1),'übrige Kosten'!C19))</f>
        <v/>
      </c>
      <c r="F19" s="91" t="str">
        <f t="shared" si="1"/>
        <v/>
      </c>
      <c r="G19" s="808" t="str">
        <f>IF(E19="","",IF(Rentabilität!$J$22&gt;0,ROUND(E19*(1+(0.3*((Rentabilität!$J$22-Rentabilität!$H$22)/Rentabilität!$H$22))),-1),'übrige Kosten'!E19))</f>
        <v/>
      </c>
      <c r="H19" s="91" t="str">
        <f t="shared" si="2"/>
        <v/>
      </c>
      <c r="I19" s="119"/>
      <c r="J19" s="63"/>
      <c r="K19" s="63"/>
      <c r="L19" s="63"/>
      <c r="M19" s="63"/>
      <c r="N19" s="63"/>
      <c r="O19" s="63"/>
      <c r="P19" s="63"/>
      <c r="Q19" s="63"/>
      <c r="R19" s="63"/>
      <c r="S19" s="63"/>
      <c r="T19" s="63"/>
      <c r="U19" s="63"/>
      <c r="V19" s="63"/>
      <c r="W19" s="63"/>
    </row>
    <row r="20" spans="1:23" outlineLevel="1">
      <c r="A20" s="356" t="s">
        <v>396</v>
      </c>
      <c r="B20" s="352"/>
      <c r="C20" s="808"/>
      <c r="D20" s="91" t="str">
        <f t="shared" si="0"/>
        <v/>
      </c>
      <c r="E20" s="808" t="str">
        <f>IF(C20="","",IF(Rentabilität!$H$22&gt;0,ROUND(C20*(1+(0.5*((Rentabilität!$H$22-Rentabilität!$F$22)/Rentabilität!$F$22))),-1),'übrige Kosten'!C20))</f>
        <v/>
      </c>
      <c r="F20" s="91" t="str">
        <f t="shared" si="1"/>
        <v/>
      </c>
      <c r="G20" s="808" t="str">
        <f>IF(E20="","",IF(Rentabilität!$J$22&gt;0,ROUND(E20*(1+(0.5*((Rentabilität!$J$22-Rentabilität!$H$22)/Rentabilität!$H$22))),-1),'übrige Kosten'!E20))</f>
        <v/>
      </c>
      <c r="H20" s="91" t="str">
        <f t="shared" si="2"/>
        <v/>
      </c>
      <c r="I20" s="119"/>
      <c r="J20" s="63"/>
      <c r="K20" s="63"/>
      <c r="L20" s="63"/>
      <c r="M20" s="63"/>
      <c r="N20" s="63"/>
      <c r="O20" s="63"/>
      <c r="P20" s="63"/>
      <c r="Q20" s="63"/>
      <c r="R20" s="63"/>
      <c r="S20" s="63"/>
      <c r="T20" s="63"/>
      <c r="U20" s="63"/>
      <c r="V20" s="63"/>
      <c r="W20" s="63"/>
    </row>
    <row r="21" spans="1:23" outlineLevel="1">
      <c r="A21" s="356" t="s">
        <v>402</v>
      </c>
      <c r="B21" s="352"/>
      <c r="C21" s="808"/>
      <c r="D21" s="91" t="str">
        <f t="shared" si="0"/>
        <v/>
      </c>
      <c r="E21" s="808" t="str">
        <f>IF(C21="","",IF(Rentabilität!$H$22&gt;0,ROUND(C21*(1+(0.5*((Rentabilität!$H$22-Rentabilität!$F$22)/Rentabilität!$F$22))),-1),'übrige Kosten'!C21))</f>
        <v/>
      </c>
      <c r="F21" s="91" t="str">
        <f t="shared" si="1"/>
        <v/>
      </c>
      <c r="G21" s="808" t="str">
        <f>IF(E21="","",IF(Rentabilität!$J$22&gt;0,ROUND(E21*(1+(0.5*((Rentabilität!$J$22-Rentabilität!$H$22)/Rentabilität!$H$22))),-1),'übrige Kosten'!E21))</f>
        <v/>
      </c>
      <c r="H21" s="91" t="str">
        <f t="shared" si="2"/>
        <v/>
      </c>
      <c r="I21" s="119"/>
      <c r="J21" s="63"/>
      <c r="K21" s="63"/>
      <c r="L21" s="63"/>
      <c r="M21" s="63"/>
      <c r="N21" s="63"/>
      <c r="O21" s="63"/>
      <c r="P21" s="63"/>
      <c r="Q21" s="63"/>
      <c r="R21" s="63"/>
      <c r="S21" s="63"/>
      <c r="T21" s="63"/>
      <c r="U21" s="63"/>
      <c r="V21" s="63"/>
      <c r="W21" s="63"/>
    </row>
    <row r="22" spans="1:23" outlineLevel="1">
      <c r="A22" s="92" t="s">
        <v>397</v>
      </c>
      <c r="B22" s="352"/>
      <c r="C22" s="808"/>
      <c r="D22" s="91" t="str">
        <f t="shared" si="0"/>
        <v/>
      </c>
      <c r="E22" s="808" t="str">
        <f>IF(C22="","",IF(Rentabilität!$H$22&gt;0,ROUND(C22*(1+(0.7*((Rentabilität!$H$22-Rentabilität!$F$22)/Rentabilität!$F$22))),-1),'übrige Kosten'!C22))</f>
        <v/>
      </c>
      <c r="F22" s="91" t="str">
        <f t="shared" si="1"/>
        <v/>
      </c>
      <c r="G22" s="808" t="str">
        <f>IF(E22="","",IF(Rentabilität!$J$22&gt;0,ROUND(E22*(1+(0.7*((Rentabilität!$J$22-Rentabilität!$H$22)/Rentabilität!$H$22))),-1),'übrige Kosten'!E22))</f>
        <v/>
      </c>
      <c r="H22" s="91" t="str">
        <f t="shared" si="2"/>
        <v/>
      </c>
      <c r="I22" s="119"/>
      <c r="J22" s="63"/>
      <c r="K22" s="63"/>
      <c r="L22" s="63"/>
      <c r="M22" s="63"/>
      <c r="N22" s="63"/>
      <c r="O22" s="63"/>
      <c r="P22" s="63"/>
      <c r="Q22" s="63"/>
      <c r="R22" s="63"/>
      <c r="S22" s="63"/>
      <c r="T22" s="63"/>
      <c r="U22" s="63"/>
      <c r="V22" s="63"/>
      <c r="W22" s="63"/>
    </row>
    <row r="23" spans="1:23" outlineLevel="1">
      <c r="A23" s="356" t="s">
        <v>398</v>
      </c>
      <c r="B23" s="352"/>
      <c r="C23" s="808"/>
      <c r="D23" s="91" t="str">
        <f t="shared" si="0"/>
        <v/>
      </c>
      <c r="E23" s="808" t="str">
        <f>IF(C23="","",IF(Rentabilität!$H$22&gt;0,ROUND(C23*(1+(0.5*((Rentabilität!$H$22-Rentabilität!$F$22)/Rentabilität!$F$22))),-1),'übrige Kosten'!C23))</f>
        <v/>
      </c>
      <c r="F23" s="91" t="str">
        <f t="shared" si="1"/>
        <v/>
      </c>
      <c r="G23" s="808" t="str">
        <f>IF(E23="","",IF(Rentabilität!$J$22&gt;0,ROUND(E23*(1+(0.5*((Rentabilität!$J$22-Rentabilität!$H$22)/Rentabilität!$H$22))),-1),'übrige Kosten'!E23))</f>
        <v/>
      </c>
      <c r="H23" s="91" t="str">
        <f t="shared" si="2"/>
        <v/>
      </c>
      <c r="I23" s="119"/>
      <c r="J23" s="63"/>
      <c r="K23" s="63"/>
      <c r="L23" s="63"/>
      <c r="M23" s="63"/>
      <c r="N23" s="63"/>
      <c r="O23" s="63"/>
      <c r="P23" s="63"/>
      <c r="Q23" s="63"/>
      <c r="R23" s="63"/>
      <c r="S23" s="63"/>
      <c r="T23" s="63"/>
      <c r="U23" s="63"/>
      <c r="V23" s="63"/>
      <c r="W23" s="63"/>
    </row>
    <row r="24" spans="1:23" outlineLevel="1">
      <c r="A24" s="356" t="s">
        <v>399</v>
      </c>
      <c r="B24" s="352"/>
      <c r="C24" s="808"/>
      <c r="D24" s="91" t="str">
        <f t="shared" si="0"/>
        <v/>
      </c>
      <c r="E24" s="808" t="str">
        <f>IF(C24="","",IF(Rentabilität!$H$22&gt;0,ROUND(C24*(1+(0.5*((Rentabilität!$H$22-Rentabilität!$F$22)/Rentabilität!$F$22))),-1),'übrige Kosten'!C24))</f>
        <v/>
      </c>
      <c r="F24" s="91" t="str">
        <f t="shared" si="1"/>
        <v/>
      </c>
      <c r="G24" s="808" t="str">
        <f>IF(E24="","",IF(Rentabilität!$J$22&gt;0,ROUND(E24*(1+(0.5*((Rentabilität!$J$22-Rentabilität!$H$22)/Rentabilität!$H$22))),-1),'übrige Kosten'!E24))</f>
        <v/>
      </c>
      <c r="H24" s="91" t="str">
        <f t="shared" si="2"/>
        <v/>
      </c>
      <c r="I24" s="119"/>
      <c r="J24" s="63"/>
      <c r="K24" s="63"/>
      <c r="L24" s="63"/>
      <c r="M24" s="63"/>
      <c r="N24" s="63"/>
      <c r="O24" s="63"/>
      <c r="P24" s="63"/>
      <c r="Q24" s="63"/>
      <c r="R24" s="63"/>
      <c r="S24" s="63"/>
      <c r="T24" s="63"/>
      <c r="U24" s="63"/>
      <c r="V24" s="63"/>
      <c r="W24" s="63"/>
    </row>
    <row r="25" spans="1:23">
      <c r="A25" s="356" t="s">
        <v>38</v>
      </c>
      <c r="B25" s="352"/>
      <c r="C25" s="360">
        <f>ROUND(IF('Zins und Tilgung'!C16=0,0,'Zins und Tilgung'!C16),-2)</f>
        <v>0</v>
      </c>
      <c r="D25" s="91" t="str">
        <f t="shared" si="0"/>
        <v/>
      </c>
      <c r="E25" s="360">
        <f>ROUND(IF('Zins und Tilgung'!C17=0,0,'Zins und Tilgung'!C17),-2)</f>
        <v>0</v>
      </c>
      <c r="F25" s="91" t="str">
        <f t="shared" si="1"/>
        <v/>
      </c>
      <c r="G25" s="360">
        <f>ROUND(IF('Zins und Tilgung'!C18=0,0,'Zins und Tilgung'!C18),-2)</f>
        <v>0</v>
      </c>
      <c r="H25" s="91" t="str">
        <f t="shared" si="2"/>
        <v/>
      </c>
      <c r="I25" s="119"/>
      <c r="J25" s="63"/>
      <c r="K25" s="63"/>
      <c r="L25" s="63"/>
      <c r="M25" s="63"/>
      <c r="N25" s="63"/>
      <c r="O25" s="63"/>
      <c r="P25" s="63"/>
      <c r="Q25" s="63"/>
      <c r="R25" s="63"/>
      <c r="S25" s="63"/>
      <c r="T25" s="63"/>
      <c r="U25" s="63"/>
      <c r="V25" s="63"/>
      <c r="W25" s="63"/>
    </row>
    <row r="26" spans="1:23">
      <c r="A26" s="356" t="s">
        <v>251</v>
      </c>
      <c r="B26" s="70"/>
      <c r="C26" s="808"/>
      <c r="D26" s="91" t="str">
        <f t="shared" si="0"/>
        <v/>
      </c>
      <c r="E26" s="808" t="str">
        <f>IF(C26="","",IF(Rentabilität!$H$22&gt;0,ROUND(C26*(1+(0.3*((Rentabilität!$H$22-Rentabilität!$F$22)/Rentabilität!$F$22))),-1),'übrige Kosten'!C26))</f>
        <v/>
      </c>
      <c r="F26" s="91" t="str">
        <f t="shared" si="1"/>
        <v/>
      </c>
      <c r="G26" s="808" t="str">
        <f>IF(E26="","",IF(Rentabilität!$J$22&gt;0,ROUND(E26*(1+(0.3*((Rentabilität!$J$22-Rentabilität!$H$22)/Rentabilität!$H$22))),-1),'übrige Kosten'!E26))</f>
        <v/>
      </c>
      <c r="H26" s="91" t="str">
        <f t="shared" si="2"/>
        <v/>
      </c>
      <c r="I26" s="119"/>
      <c r="J26" s="63"/>
      <c r="K26" s="63"/>
      <c r="L26" s="63"/>
      <c r="M26" s="63"/>
      <c r="N26" s="63"/>
      <c r="O26" s="63"/>
      <c r="P26" s="63"/>
      <c r="Q26" s="63"/>
      <c r="R26" s="63"/>
      <c r="S26" s="63"/>
      <c r="T26" s="63"/>
      <c r="U26" s="63"/>
      <c r="V26" s="63"/>
      <c r="W26" s="63"/>
    </row>
    <row r="27" spans="1:23">
      <c r="A27" s="356" t="s">
        <v>84</v>
      </c>
      <c r="B27" s="866"/>
      <c r="C27" s="808"/>
      <c r="D27" s="91" t="str">
        <f t="shared" si="0"/>
        <v/>
      </c>
      <c r="E27" s="808" t="str">
        <f>IF(C27="","",IF(Rentabilität!$H$22&gt;0,ROUND(C27*(1+(0.5*((Rentabilität!$H$22-Rentabilität!$F$22)/Rentabilität!$F$22))),-1),'übrige Kosten'!C27))</f>
        <v/>
      </c>
      <c r="F27" s="91" t="str">
        <f t="shared" si="1"/>
        <v/>
      </c>
      <c r="G27" s="808" t="str">
        <f>IF(E27="","",IF(Rentabilität!$J$22&gt;0,ROUND(E27*(1+(0.5*((Rentabilität!$J$22-Rentabilität!$H$22)/Rentabilität!$H$22))),-1),'übrige Kosten'!E27))</f>
        <v/>
      </c>
      <c r="H27" s="91" t="str">
        <f t="shared" si="2"/>
        <v/>
      </c>
      <c r="I27" s="119"/>
      <c r="J27" s="63"/>
      <c r="K27" s="63"/>
      <c r="L27" s="63"/>
      <c r="M27" s="63"/>
      <c r="N27" s="63"/>
      <c r="O27" s="63"/>
      <c r="P27" s="63"/>
      <c r="Q27" s="63"/>
      <c r="R27" s="63"/>
      <c r="S27" s="63"/>
      <c r="T27" s="63"/>
      <c r="U27" s="63"/>
      <c r="V27" s="63"/>
      <c r="W27" s="63"/>
    </row>
    <row r="28" spans="1:23">
      <c r="A28" s="356" t="s">
        <v>47</v>
      </c>
      <c r="B28" s="866"/>
      <c r="C28" s="808"/>
      <c r="D28" s="91" t="str">
        <f t="shared" si="0"/>
        <v/>
      </c>
      <c r="E28" s="808" t="str">
        <f>IF(C28="","",IF(Rentabilität!$H$22&gt;0,ROUND(C28*(1+(0.5*((Rentabilität!$H$22-Rentabilität!$F$22)/Rentabilität!$F$22))),-1),'übrige Kosten'!C28))</f>
        <v/>
      </c>
      <c r="F28" s="91"/>
      <c r="G28" s="808" t="str">
        <f>IF(E28="","",IF(Rentabilität!$J$22&gt;0,ROUND(E28*(1+(0.5*((Rentabilität!$J$22-Rentabilität!$H$22)/Rentabilität!$H$22))),-1),'übrige Kosten'!E28))</f>
        <v/>
      </c>
      <c r="H28" s="91"/>
      <c r="I28" s="119"/>
      <c r="J28" s="63"/>
      <c r="K28" s="63"/>
      <c r="L28" s="63"/>
      <c r="M28" s="63"/>
      <c r="N28" s="63"/>
      <c r="O28" s="63"/>
      <c r="P28" s="63"/>
      <c r="Q28" s="63"/>
      <c r="R28" s="63"/>
      <c r="S28" s="63"/>
      <c r="T28" s="63"/>
      <c r="U28" s="63"/>
      <c r="V28" s="63"/>
      <c r="W28" s="63"/>
    </row>
    <row r="29" spans="1:23">
      <c r="A29" s="356" t="s">
        <v>48</v>
      </c>
      <c r="B29" s="866"/>
      <c r="C29" s="808"/>
      <c r="D29" s="91" t="str">
        <f t="shared" si="0"/>
        <v/>
      </c>
      <c r="E29" s="808" t="str">
        <f>IF(C29="","",IF(Rentabilität!$H$22&gt;0,ROUND(C29*(1+(0.5*((Rentabilität!$H$22-Rentabilität!$F$22)/Rentabilität!$F$22))),-1),'übrige Kosten'!C29))</f>
        <v/>
      </c>
      <c r="F29" s="91" t="str">
        <f t="shared" si="1"/>
        <v/>
      </c>
      <c r="G29" s="808" t="str">
        <f>IF(E29="","",IF(Rentabilität!$J$22&gt;0,ROUND(E29*(1+(0.5*((Rentabilität!$J$22-Rentabilität!$H$22)/Rentabilität!$H$22))),-1),'übrige Kosten'!E29))</f>
        <v/>
      </c>
      <c r="H29" s="91" t="str">
        <f t="shared" si="2"/>
        <v/>
      </c>
      <c r="I29" s="119"/>
      <c r="J29" s="63"/>
      <c r="K29" s="63"/>
      <c r="L29" s="63"/>
      <c r="M29" s="63"/>
      <c r="N29" s="63"/>
      <c r="O29" s="63"/>
      <c r="P29" s="63"/>
      <c r="Q29" s="63"/>
      <c r="R29" s="63"/>
      <c r="S29" s="63"/>
      <c r="T29" s="63"/>
      <c r="U29" s="63"/>
      <c r="V29" s="63"/>
      <c r="W29" s="63"/>
    </row>
    <row r="30" spans="1:23">
      <c r="A30" s="145" t="s">
        <v>41</v>
      </c>
      <c r="B30" s="361"/>
      <c r="C30" s="362">
        <f>SUM(C10:C29)</f>
        <v>0</v>
      </c>
      <c r="D30" s="91" t="str">
        <f t="shared" si="0"/>
        <v/>
      </c>
      <c r="E30" s="362">
        <f>SUM(E10:E29)</f>
        <v>0</v>
      </c>
      <c r="F30" s="91" t="str">
        <f t="shared" si="1"/>
        <v/>
      </c>
      <c r="G30" s="362">
        <f>SUM(G10:G29)</f>
        <v>0</v>
      </c>
      <c r="H30" s="91" t="str">
        <f t="shared" si="2"/>
        <v/>
      </c>
      <c r="I30" s="63"/>
      <c r="J30" s="63"/>
      <c r="K30" s="63"/>
      <c r="L30" s="63"/>
      <c r="M30" s="63"/>
      <c r="N30" s="63"/>
      <c r="O30" s="63"/>
      <c r="P30" s="63"/>
      <c r="Q30" s="63"/>
      <c r="R30" s="63"/>
      <c r="S30" s="63"/>
      <c r="T30" s="63"/>
      <c r="U30" s="63"/>
      <c r="V30" s="63"/>
      <c r="W30" s="63"/>
    </row>
    <row r="31" spans="1:23">
      <c r="A31" s="107"/>
      <c r="B31" s="63"/>
      <c r="C31" s="63"/>
      <c r="D31" s="63"/>
      <c r="E31" s="63"/>
      <c r="F31" s="63"/>
      <c r="G31" s="63"/>
      <c r="H31" s="63"/>
      <c r="I31" s="63"/>
      <c r="J31" s="63"/>
      <c r="K31" s="63"/>
      <c r="L31" s="63"/>
      <c r="M31" s="63"/>
      <c r="N31" s="63"/>
      <c r="O31" s="63"/>
      <c r="P31" s="63"/>
      <c r="Q31" s="63"/>
      <c r="R31" s="63"/>
      <c r="S31" s="63"/>
      <c r="T31" s="63"/>
      <c r="U31" s="63"/>
      <c r="V31" s="63"/>
      <c r="W31" s="63"/>
    </row>
    <row r="32" spans="1:23">
      <c r="A32" s="107"/>
      <c r="B32" s="63"/>
      <c r="C32" s="63"/>
      <c r="D32" s="63"/>
      <c r="E32" s="63"/>
      <c r="F32" s="63"/>
      <c r="G32" s="63"/>
      <c r="H32" s="63"/>
      <c r="I32" s="63"/>
      <c r="J32" s="63"/>
      <c r="K32" s="63"/>
      <c r="L32" s="63"/>
      <c r="M32" s="63"/>
      <c r="N32" s="63"/>
      <c r="O32" s="63"/>
      <c r="P32" s="63"/>
      <c r="Q32" s="63"/>
      <c r="R32" s="63"/>
      <c r="S32" s="63"/>
      <c r="T32" s="63"/>
      <c r="U32" s="63"/>
      <c r="V32" s="63"/>
      <c r="W32" s="63"/>
    </row>
    <row r="33" spans="1:23">
      <c r="A33" s="363" t="s">
        <v>357</v>
      </c>
      <c r="B33" s="973"/>
      <c r="C33" s="364"/>
      <c r="D33" s="364"/>
      <c r="E33" s="364"/>
      <c r="F33" s="364"/>
      <c r="G33" s="364"/>
      <c r="H33" s="365"/>
      <c r="I33" s="63"/>
      <c r="J33" s="63"/>
      <c r="K33" s="63"/>
      <c r="L33" s="63"/>
      <c r="M33" s="63"/>
      <c r="N33" s="63"/>
      <c r="O33" s="63"/>
      <c r="P33" s="63"/>
      <c r="Q33" s="63"/>
      <c r="R33" s="63"/>
      <c r="S33" s="63"/>
      <c r="T33" s="63"/>
      <c r="U33" s="63"/>
      <c r="V33" s="63"/>
      <c r="W33" s="63"/>
    </row>
    <row r="34" spans="1:23">
      <c r="A34" s="88" t="s">
        <v>358</v>
      </c>
      <c r="B34" s="858">
        <v>4.17</v>
      </c>
      <c r="C34" s="366">
        <f>ROUND(IF(IF(OR($A$50=8,$A$50=9,$A$50=10),Rentabilität!F39*0.035*'übrige Kosten'!$B$34,(Rentabilität!F39-24500)*0.035*'übrige Kosten'!$B$34)&gt;0,IF(OR(A$50=8,A$50=9,A$50=10),Rentabilität!F39*0.035*'übrige Kosten'!$B$34,(Rentabilität!F39-24500)*0.035*'übrige Kosten'!$B$34),0),-2)</f>
        <v>0</v>
      </c>
      <c r="D34" s="91" t="str">
        <f>IF(OR(C34="",C$39=0),"",(C34/C$39*100))</f>
        <v/>
      </c>
      <c r="E34" s="366">
        <f>ROUND(IF(IF(OR($A50=8,$A50=9,$A50=10),Rentabilität!H39*0.035*'übrige Kosten'!$B$34,(Rentabilität!H39-24500)*0.035*'übrige Kosten'!$B$34)&gt;0,IF(OR($A50=8,$A50=9,$A50=10),Rentabilität!H39*0.035*'übrige Kosten'!$B$34,(Rentabilität!H39-24500)*0.035*'übrige Kosten'!$B$34),0),-2)</f>
        <v>0</v>
      </c>
      <c r="F34" s="91" t="str">
        <f>IF(OR(E34="",E$39=0),"",(E34/E$39*100))</f>
        <v/>
      </c>
      <c r="G34" s="366">
        <f>ROUND(IF(IF(OR($A50=8,$A50=9,$A50=10),Rentabilität!J39*0.035*'übrige Kosten'!$B$34,(Rentabilität!J39-24500)*0.035*'übrige Kosten'!$B$34)&gt;0,IF(OR($A50=8,$A50=9,$A50=10),Rentabilität!J39*0.035*'übrige Kosten'!$B$34,(Rentabilität!J39-24500)*0.035*'übrige Kosten'!$B$34),0),-2)</f>
        <v>0</v>
      </c>
      <c r="H34" s="91" t="str">
        <f>IF(OR(G34="",G$39=0),"",(G34/G$39*100))</f>
        <v/>
      </c>
      <c r="I34" s="63"/>
      <c r="J34" s="63"/>
      <c r="K34" s="63"/>
      <c r="L34" s="63"/>
      <c r="M34" s="63"/>
      <c r="N34" s="63"/>
      <c r="O34" s="63"/>
      <c r="P34" s="63"/>
      <c r="Q34" s="63"/>
      <c r="R34" s="63"/>
      <c r="S34" s="63"/>
      <c r="T34" s="63"/>
      <c r="U34" s="63"/>
      <c r="V34" s="63"/>
      <c r="W34" s="63"/>
    </row>
    <row r="35" spans="1:23">
      <c r="A35" s="86" t="s">
        <v>354</v>
      </c>
      <c r="B35" s="87"/>
      <c r="C35" s="360">
        <f>IF(Rentabilität!F39&lt;=0,0,ROUND(IF(OR($A$50=8,$A$50=9,$A$50=10),Rentabilität!F39*0.15825,0),-2))</f>
        <v>0</v>
      </c>
      <c r="D35" s="91" t="str">
        <f>IF(OR(C35="",C$39=0),"",(C35/C$39*100))</f>
        <v/>
      </c>
      <c r="E35" s="360">
        <f>IF(Rentabilität!H39&lt;=0,0,ROUND(IF(OR($A$50=8,$A$50=9,$A$50=10),Rentabilität!H39*0.15825,0),-2))</f>
        <v>0</v>
      </c>
      <c r="F35" s="91" t="str">
        <f>IF(OR(E35="",E$39=0),"",(E35/E$39*100))</f>
        <v/>
      </c>
      <c r="G35" s="360">
        <f>IF(Rentabilität!J39&lt;=0,0,ROUND(IF(OR($A$50=8,$A$50=9,$A$50=10),Rentabilität!J39*0.15825,0),-2))</f>
        <v>0</v>
      </c>
      <c r="H35" s="91" t="str">
        <f>IF(OR(G35="",G$39=0),"",(G35/G$39*100))</f>
        <v/>
      </c>
      <c r="I35" s="63"/>
      <c r="J35" s="63"/>
      <c r="K35" s="63"/>
      <c r="L35" s="63"/>
      <c r="M35" s="63"/>
      <c r="N35" s="63"/>
      <c r="O35" s="63"/>
      <c r="P35" s="63"/>
      <c r="Q35" s="63"/>
      <c r="R35" s="63"/>
      <c r="S35" s="63"/>
      <c r="T35" s="63"/>
      <c r="U35" s="63"/>
      <c r="V35" s="63"/>
      <c r="W35" s="63"/>
    </row>
    <row r="36" spans="1:23">
      <c r="A36" s="367" t="s">
        <v>356</v>
      </c>
      <c r="B36" s="69"/>
      <c r="C36" s="368">
        <f>C34+C35</f>
        <v>0</v>
      </c>
      <c r="D36" s="91" t="str">
        <f>IF(OR(C36="",C$39=0),"",(D34+D35))</f>
        <v/>
      </c>
      <c r="E36" s="368">
        <f>E34+E35</f>
        <v>0</v>
      </c>
      <c r="F36" s="91" t="str">
        <f>IF(OR(E36="",E$39=0),"",(F34+F35))</f>
        <v/>
      </c>
      <c r="G36" s="368">
        <f>G34+G35</f>
        <v>0</v>
      </c>
      <c r="H36" s="91" t="str">
        <f>IF(OR(G36="",G$39=0),"",(H34+H35))</f>
        <v/>
      </c>
      <c r="I36" s="63"/>
      <c r="J36" s="63"/>
      <c r="K36" s="63"/>
      <c r="L36" s="63"/>
      <c r="M36" s="63"/>
      <c r="N36" s="63"/>
      <c r="O36" s="63"/>
      <c r="P36" s="63"/>
      <c r="Q36" s="63"/>
      <c r="R36" s="63"/>
      <c r="S36" s="63"/>
      <c r="T36" s="63"/>
      <c r="U36" s="63"/>
      <c r="V36" s="63"/>
      <c r="W36" s="63"/>
    </row>
    <row r="37" spans="1:23">
      <c r="A37" s="63"/>
      <c r="B37" s="63"/>
      <c r="C37" s="63"/>
      <c r="D37" s="63"/>
      <c r="E37" s="63"/>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63"/>
      <c r="G38" s="63"/>
      <c r="H38" s="63"/>
      <c r="I38" s="63"/>
      <c r="J38" s="63"/>
      <c r="K38" s="63"/>
      <c r="L38" s="63"/>
      <c r="M38" s="63"/>
      <c r="N38" s="63"/>
      <c r="O38" s="63"/>
      <c r="P38" s="63"/>
      <c r="Q38" s="63"/>
      <c r="R38" s="63"/>
      <c r="S38" s="63"/>
      <c r="T38" s="63"/>
      <c r="U38" s="63"/>
      <c r="V38" s="63"/>
      <c r="W38" s="63"/>
    </row>
    <row r="39" spans="1:23">
      <c r="A39" s="88" t="s">
        <v>260</v>
      </c>
      <c r="B39" s="369"/>
      <c r="C39" s="96">
        <f>(Rentabilität!F$22)</f>
        <v>0</v>
      </c>
      <c r="D39" s="91" t="str">
        <f>IF(C39=0,"",(C39/C$39*100))</f>
        <v/>
      </c>
      <c r="E39" s="96">
        <f>(Rentabilität!H$22)</f>
        <v>0</v>
      </c>
      <c r="F39" s="91" t="str">
        <f>IF(E39=0,"",(E39/E$39*100))</f>
        <v/>
      </c>
      <c r="G39" s="96">
        <f>(Rentabilität!J$22)</f>
        <v>0</v>
      </c>
      <c r="H39" s="91" t="str">
        <f>IF(G39=0,"",(G39/G$39*100))</f>
        <v/>
      </c>
      <c r="I39" s="63"/>
      <c r="J39" s="63"/>
      <c r="K39" s="63"/>
      <c r="L39" s="63"/>
      <c r="M39" s="63"/>
      <c r="N39" s="63"/>
      <c r="O39" s="63"/>
      <c r="P39" s="63"/>
      <c r="Q39" s="63"/>
      <c r="R39" s="63"/>
      <c r="S39" s="63"/>
      <c r="T39" s="63"/>
      <c r="U39" s="63"/>
      <c r="V39" s="63"/>
      <c r="W39" s="63"/>
    </row>
    <row r="40" spans="1:23">
      <c r="A40" s="63"/>
      <c r="B40" s="63"/>
      <c r="C40" s="63"/>
      <c r="D40" s="63"/>
      <c r="E40" s="63"/>
      <c r="F40" s="63"/>
      <c r="G40" s="63"/>
      <c r="H40" s="63"/>
      <c r="I40" s="63"/>
      <c r="J40" s="63"/>
      <c r="K40" s="63"/>
      <c r="L40" s="63"/>
      <c r="M40" s="63"/>
      <c r="N40" s="63"/>
      <c r="O40" s="63"/>
      <c r="P40" s="63"/>
      <c r="Q40" s="63"/>
      <c r="R40" s="63"/>
      <c r="S40" s="63"/>
      <c r="T40" s="63"/>
      <c r="U40" s="63"/>
      <c r="V40" s="63"/>
      <c r="W40" s="63"/>
    </row>
    <row r="41" spans="1:23">
      <c r="A41" s="63"/>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370"/>
      <c r="C43" s="63"/>
      <c r="D43" s="63"/>
      <c r="E43" s="63"/>
      <c r="F43" s="63"/>
      <c r="G43" s="63"/>
      <c r="H43" s="63"/>
      <c r="I43" s="63"/>
      <c r="J43" s="63"/>
      <c r="K43" s="63"/>
      <c r="L43" s="63"/>
      <c r="M43" s="63"/>
      <c r="N43" s="63"/>
      <c r="O43" s="63"/>
      <c r="P43" s="63"/>
      <c r="Q43" s="63"/>
      <c r="R43" s="63"/>
      <c r="S43" s="63"/>
      <c r="T43" s="63"/>
      <c r="U43" s="63"/>
      <c r="V43" s="63"/>
      <c r="W43" s="63"/>
    </row>
    <row r="44" spans="1:23">
      <c r="A44" s="371"/>
      <c r="B44" s="370"/>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110"/>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971">
        <f>Startseite!$A$50</f>
        <v>1</v>
      </c>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row r="70" spans="1:23">
      <c r="A70" s="63"/>
      <c r="B70" s="63"/>
      <c r="C70" s="63"/>
      <c r="D70" s="63"/>
      <c r="E70" s="63"/>
      <c r="F70" s="63"/>
      <c r="G70" s="63"/>
      <c r="H70" s="63"/>
      <c r="I70" s="63"/>
      <c r="J70" s="63"/>
      <c r="K70" s="63"/>
      <c r="L70" s="63"/>
      <c r="M70" s="63"/>
      <c r="N70" s="63"/>
      <c r="O70" s="63"/>
      <c r="P70" s="63"/>
      <c r="Q70" s="63"/>
      <c r="R70" s="63"/>
      <c r="S70" s="63"/>
      <c r="T70" s="63"/>
      <c r="U70" s="63"/>
      <c r="V70" s="63"/>
      <c r="W70" s="63"/>
    </row>
    <row r="71" spans="1:23">
      <c r="A71" s="63"/>
      <c r="B71" s="63"/>
      <c r="C71" s="63"/>
      <c r="D71" s="63"/>
      <c r="E71" s="63"/>
      <c r="F71" s="63"/>
      <c r="G71" s="63"/>
      <c r="H71" s="63"/>
      <c r="I71" s="63"/>
      <c r="J71" s="63"/>
      <c r="K71" s="63"/>
      <c r="L71" s="63"/>
      <c r="M71" s="63"/>
      <c r="N71" s="63"/>
      <c r="O71" s="63"/>
      <c r="P71" s="63"/>
      <c r="Q71" s="63"/>
      <c r="R71" s="63"/>
      <c r="S71" s="63"/>
      <c r="T71" s="63"/>
      <c r="U71" s="63"/>
      <c r="V71" s="63"/>
      <c r="W71" s="63"/>
    </row>
    <row r="72" spans="1:23">
      <c r="A72" s="63"/>
      <c r="B72" s="63"/>
      <c r="C72" s="63"/>
      <c r="D72" s="63"/>
      <c r="E72" s="63"/>
      <c r="F72" s="63"/>
      <c r="G72" s="63"/>
      <c r="H72" s="63"/>
      <c r="I72" s="63"/>
      <c r="J72" s="63"/>
      <c r="K72" s="63"/>
      <c r="L72" s="63"/>
      <c r="M72" s="63"/>
      <c r="N72" s="63"/>
      <c r="O72" s="63"/>
      <c r="P72" s="63"/>
      <c r="Q72" s="63"/>
      <c r="R72" s="63"/>
      <c r="S72" s="63"/>
      <c r="T72" s="63"/>
      <c r="U72" s="63"/>
      <c r="V72" s="63"/>
      <c r="W72" s="63"/>
    </row>
    <row r="73" spans="1:23">
      <c r="A73" s="63"/>
      <c r="B73" s="63"/>
      <c r="C73" s="63"/>
      <c r="D73" s="63"/>
      <c r="E73" s="63"/>
      <c r="F73" s="63"/>
      <c r="G73" s="63"/>
      <c r="H73" s="63"/>
      <c r="I73" s="63"/>
      <c r="J73" s="63"/>
      <c r="K73" s="63"/>
      <c r="L73" s="63"/>
      <c r="M73" s="63"/>
      <c r="N73" s="63"/>
      <c r="O73" s="63"/>
      <c r="P73" s="63"/>
      <c r="Q73" s="63"/>
      <c r="R73" s="63"/>
      <c r="S73" s="63"/>
      <c r="T73" s="63"/>
      <c r="U73" s="63"/>
      <c r="V73" s="63"/>
      <c r="W73" s="63"/>
    </row>
    <row r="74" spans="1:23">
      <c r="A74" s="63"/>
      <c r="B74" s="63"/>
      <c r="C74" s="63"/>
      <c r="D74" s="63"/>
      <c r="E74" s="63"/>
      <c r="F74" s="63"/>
      <c r="G74" s="63"/>
      <c r="H74" s="63"/>
      <c r="I74" s="63"/>
      <c r="J74" s="63"/>
      <c r="K74" s="63"/>
      <c r="L74" s="63"/>
      <c r="M74" s="63"/>
      <c r="N74" s="63"/>
      <c r="O74" s="63"/>
      <c r="P74" s="63"/>
      <c r="Q74" s="63"/>
      <c r="R74" s="63"/>
      <c r="S74" s="63"/>
      <c r="T74" s="63"/>
      <c r="U74" s="63"/>
      <c r="V74" s="63"/>
      <c r="W74" s="63"/>
    </row>
    <row r="75" spans="1:23">
      <c r="A75" s="63"/>
      <c r="B75" s="63"/>
      <c r="C75" s="63"/>
      <c r="D75" s="63"/>
      <c r="E75" s="63"/>
      <c r="F75" s="63"/>
      <c r="G75" s="63"/>
      <c r="H75" s="63"/>
      <c r="I75" s="63"/>
      <c r="J75" s="63"/>
      <c r="K75" s="63"/>
      <c r="L75" s="63"/>
      <c r="M75" s="63"/>
      <c r="N75" s="63"/>
      <c r="O75" s="63"/>
      <c r="P75" s="63"/>
      <c r="Q75" s="63"/>
      <c r="R75" s="63"/>
      <c r="S75" s="63"/>
      <c r="T75" s="63"/>
      <c r="U75" s="63"/>
      <c r="V75" s="63"/>
      <c r="W75" s="63"/>
    </row>
    <row r="76" spans="1:23">
      <c r="A76" s="63"/>
      <c r="B76" s="63"/>
      <c r="C76" s="63"/>
      <c r="D76" s="63"/>
      <c r="E76" s="63"/>
      <c r="F76" s="63"/>
      <c r="G76" s="63"/>
      <c r="H76" s="63"/>
      <c r="I76" s="63"/>
      <c r="J76" s="63"/>
      <c r="K76" s="63"/>
      <c r="L76" s="63"/>
      <c r="M76" s="63"/>
      <c r="N76" s="63"/>
      <c r="O76" s="63"/>
      <c r="P76" s="63"/>
      <c r="Q76" s="63"/>
      <c r="R76" s="63"/>
      <c r="S76" s="63"/>
      <c r="T76" s="63"/>
      <c r="U76" s="63"/>
      <c r="V76" s="63"/>
      <c r="W76" s="63"/>
    </row>
    <row r="77" spans="1:23">
      <c r="A77" s="63"/>
      <c r="B77" s="63"/>
      <c r="C77" s="63"/>
      <c r="D77" s="63"/>
      <c r="E77" s="63"/>
      <c r="F77" s="63"/>
      <c r="G77" s="63"/>
      <c r="H77" s="63"/>
      <c r="I77" s="63"/>
      <c r="J77" s="63"/>
      <c r="K77" s="63"/>
      <c r="L77" s="63"/>
      <c r="M77" s="63"/>
      <c r="N77" s="63"/>
      <c r="O77" s="63"/>
      <c r="P77" s="63"/>
      <c r="Q77" s="63"/>
      <c r="R77" s="63"/>
      <c r="S77" s="63"/>
      <c r="T77" s="63"/>
      <c r="U77" s="63"/>
      <c r="V77" s="63"/>
      <c r="W77" s="63"/>
    </row>
    <row r="78" spans="1:23">
      <c r="A78" s="63"/>
      <c r="B78" s="63"/>
      <c r="C78" s="63"/>
      <c r="D78" s="63"/>
      <c r="E78" s="63"/>
      <c r="F78" s="63"/>
      <c r="G78" s="63"/>
      <c r="H78" s="63"/>
      <c r="I78" s="63"/>
      <c r="J78" s="63"/>
      <c r="K78" s="63"/>
      <c r="L78" s="63"/>
      <c r="M78" s="63"/>
      <c r="N78" s="63"/>
      <c r="O78" s="63"/>
      <c r="P78" s="63"/>
      <c r="Q78" s="63"/>
      <c r="R78" s="63"/>
      <c r="S78" s="63"/>
      <c r="T78" s="63"/>
      <c r="U78" s="63"/>
      <c r="V78" s="63"/>
      <c r="W78" s="63"/>
    </row>
    <row r="79" spans="1:23">
      <c r="A79" s="63"/>
      <c r="B79" s="63"/>
      <c r="C79" s="63"/>
      <c r="D79" s="63"/>
      <c r="E79" s="63"/>
      <c r="F79" s="63"/>
      <c r="G79" s="63"/>
      <c r="H79" s="63"/>
      <c r="I79" s="63"/>
      <c r="J79" s="63"/>
      <c r="K79" s="63"/>
      <c r="L79" s="63"/>
      <c r="M79" s="63"/>
      <c r="N79" s="63"/>
      <c r="O79" s="63"/>
      <c r="P79" s="63"/>
      <c r="Q79" s="63"/>
      <c r="R79" s="63"/>
      <c r="S79" s="63"/>
      <c r="T79" s="63"/>
      <c r="U79" s="63"/>
      <c r="V79" s="63"/>
      <c r="W79" s="63"/>
    </row>
    <row r="80" spans="1:23">
      <c r="A80" s="63"/>
      <c r="B80" s="63"/>
      <c r="C80" s="63"/>
      <c r="D80" s="63"/>
      <c r="E80" s="63"/>
      <c r="F80" s="63"/>
      <c r="G80" s="63"/>
      <c r="H80" s="63"/>
      <c r="I80" s="63"/>
      <c r="J80" s="63"/>
      <c r="K80" s="63"/>
      <c r="L80" s="63"/>
      <c r="M80" s="63"/>
      <c r="N80" s="63"/>
      <c r="O80" s="63"/>
      <c r="P80" s="63"/>
      <c r="Q80" s="63"/>
      <c r="R80" s="63"/>
      <c r="S80" s="63"/>
      <c r="T80" s="63"/>
      <c r="U80" s="63"/>
      <c r="V80" s="63"/>
      <c r="W80" s="63"/>
    </row>
    <row r="81" spans="1:23">
      <c r="A81" s="63"/>
      <c r="B81" s="63"/>
      <c r="C81" s="63"/>
      <c r="D81" s="63"/>
      <c r="E81" s="63"/>
      <c r="F81" s="63"/>
      <c r="G81" s="63"/>
      <c r="H81" s="63"/>
      <c r="I81" s="63"/>
      <c r="J81" s="63"/>
      <c r="K81" s="63"/>
      <c r="L81" s="63"/>
      <c r="M81" s="63"/>
      <c r="N81" s="63"/>
      <c r="O81" s="63"/>
      <c r="P81" s="63"/>
      <c r="Q81" s="63"/>
      <c r="R81" s="63"/>
      <c r="S81" s="63"/>
      <c r="T81" s="63"/>
      <c r="U81" s="63"/>
      <c r="V81" s="63"/>
      <c r="W81" s="63"/>
    </row>
    <row r="82" spans="1:23">
      <c r="A82" s="63"/>
      <c r="B82" s="63"/>
      <c r="C82" s="63"/>
      <c r="D82" s="63"/>
      <c r="E82" s="63"/>
      <c r="F82" s="63"/>
      <c r="G82" s="63"/>
      <c r="H82" s="63"/>
      <c r="I82" s="63"/>
      <c r="J82" s="63"/>
      <c r="K82" s="63"/>
      <c r="L82" s="63"/>
      <c r="M82" s="63"/>
      <c r="N82" s="63"/>
      <c r="O82" s="63"/>
      <c r="P82" s="63"/>
      <c r="Q82" s="63"/>
      <c r="R82" s="63"/>
      <c r="S82" s="63"/>
      <c r="T82" s="63"/>
      <c r="U82" s="63"/>
      <c r="V82" s="63"/>
      <c r="W82" s="63"/>
    </row>
    <row r="83" spans="1:23">
      <c r="A83" s="63"/>
      <c r="B83" s="63"/>
      <c r="C83" s="63"/>
      <c r="D83" s="63"/>
      <c r="E83" s="63"/>
      <c r="F83" s="63"/>
      <c r="G83" s="63"/>
      <c r="H83" s="63"/>
      <c r="I83" s="63"/>
      <c r="J83" s="63"/>
      <c r="K83" s="63"/>
      <c r="L83" s="63"/>
      <c r="M83" s="63"/>
      <c r="N83" s="63"/>
      <c r="O83" s="63"/>
      <c r="P83" s="63"/>
      <c r="Q83" s="63"/>
      <c r="R83" s="63"/>
      <c r="S83" s="63"/>
      <c r="T83" s="63"/>
      <c r="U83" s="63"/>
      <c r="V83" s="63"/>
      <c r="W83" s="63"/>
    </row>
    <row r="84" spans="1:23">
      <c r="A84" s="63"/>
      <c r="B84" s="63"/>
      <c r="C84" s="63"/>
      <c r="D84" s="63"/>
      <c r="E84" s="63"/>
      <c r="F84" s="63"/>
      <c r="G84" s="63"/>
      <c r="H84" s="63"/>
      <c r="I84" s="63"/>
      <c r="J84" s="63"/>
      <c r="K84" s="63"/>
      <c r="L84" s="63"/>
      <c r="M84" s="63"/>
      <c r="N84" s="63"/>
      <c r="O84" s="63"/>
      <c r="P84" s="63"/>
      <c r="Q84" s="63"/>
      <c r="R84" s="63"/>
      <c r="S84" s="63"/>
      <c r="T84" s="63"/>
      <c r="U84" s="63"/>
      <c r="V84" s="63"/>
      <c r="W84" s="63"/>
    </row>
    <row r="85" spans="1:23">
      <c r="A85" s="63"/>
      <c r="B85" s="63"/>
      <c r="C85" s="63"/>
      <c r="D85" s="63"/>
      <c r="E85" s="63"/>
      <c r="F85" s="63"/>
      <c r="G85" s="63"/>
      <c r="H85" s="63"/>
      <c r="I85" s="63"/>
      <c r="J85" s="63"/>
      <c r="K85" s="63"/>
      <c r="L85" s="63"/>
      <c r="M85" s="63"/>
      <c r="N85" s="63"/>
      <c r="O85" s="63"/>
      <c r="P85" s="63"/>
      <c r="Q85" s="63"/>
      <c r="R85" s="63"/>
      <c r="S85" s="63"/>
      <c r="T85" s="63"/>
      <c r="U85" s="63"/>
      <c r="V85" s="63"/>
      <c r="W85" s="63"/>
    </row>
    <row r="86" spans="1:23">
      <c r="A86" s="63"/>
      <c r="B86" s="63"/>
      <c r="C86" s="63"/>
      <c r="D86" s="63"/>
      <c r="E86" s="63"/>
      <c r="F86" s="63"/>
      <c r="G86" s="63"/>
      <c r="H86" s="63"/>
      <c r="I86" s="63"/>
      <c r="J86" s="63"/>
      <c r="K86" s="63"/>
      <c r="L86" s="63"/>
      <c r="M86" s="63"/>
      <c r="N86" s="63"/>
      <c r="O86" s="63"/>
      <c r="P86" s="63"/>
      <c r="Q86" s="63"/>
      <c r="R86" s="63"/>
      <c r="S86" s="63"/>
      <c r="T86" s="63"/>
      <c r="U86" s="63"/>
      <c r="V86" s="63"/>
      <c r="W86" s="63"/>
    </row>
    <row r="87" spans="1:23">
      <c r="A87" s="63"/>
      <c r="B87" s="63"/>
      <c r="C87" s="63"/>
      <c r="D87" s="63"/>
      <c r="E87" s="63"/>
      <c r="F87" s="63"/>
      <c r="G87" s="63"/>
      <c r="H87" s="63"/>
      <c r="I87" s="63"/>
      <c r="J87" s="63"/>
      <c r="K87" s="63"/>
      <c r="L87" s="63"/>
      <c r="M87" s="63"/>
      <c r="N87" s="63"/>
      <c r="O87" s="63"/>
      <c r="P87" s="63"/>
      <c r="Q87" s="63"/>
      <c r="R87" s="63"/>
      <c r="S87" s="63"/>
      <c r="T87" s="63"/>
      <c r="U87" s="63"/>
      <c r="V87" s="63"/>
      <c r="W87" s="63"/>
    </row>
    <row r="88" spans="1:23">
      <c r="A88" s="63"/>
      <c r="B88" s="63"/>
      <c r="C88" s="63"/>
      <c r="D88" s="63"/>
      <c r="E88" s="63"/>
      <c r="F88" s="63"/>
      <c r="G88" s="63"/>
      <c r="H88" s="63"/>
      <c r="I88" s="63"/>
      <c r="J88" s="63"/>
      <c r="K88" s="63"/>
      <c r="L88" s="63"/>
      <c r="M88" s="63"/>
      <c r="N88" s="63"/>
      <c r="O88" s="63"/>
      <c r="P88" s="63"/>
      <c r="Q88" s="63"/>
      <c r="R88" s="63"/>
      <c r="S88" s="63"/>
      <c r="T88" s="63"/>
      <c r="U88" s="63"/>
      <c r="V88" s="63"/>
      <c r="W88" s="63"/>
    </row>
    <row r="89" spans="1:23">
      <c r="A89" s="63"/>
      <c r="B89" s="63"/>
      <c r="C89" s="63"/>
      <c r="D89" s="63"/>
      <c r="E89" s="63"/>
      <c r="F89" s="63"/>
      <c r="G89" s="63"/>
      <c r="H89" s="63"/>
      <c r="I89" s="63"/>
      <c r="J89" s="63"/>
      <c r="K89" s="63"/>
      <c r="L89" s="63"/>
      <c r="M89" s="63"/>
      <c r="N89" s="63"/>
      <c r="O89" s="63"/>
      <c r="P89" s="63"/>
      <c r="Q89" s="63"/>
      <c r="R89" s="63"/>
      <c r="S89" s="63"/>
      <c r="T89" s="63"/>
      <c r="U89" s="63"/>
      <c r="V89" s="63"/>
      <c r="W89" s="63"/>
    </row>
    <row r="90" spans="1:23">
      <c r="A90" s="63"/>
      <c r="B90" s="63"/>
      <c r="C90" s="63"/>
      <c r="D90" s="63"/>
      <c r="E90" s="63"/>
      <c r="F90" s="63"/>
      <c r="G90" s="63"/>
      <c r="H90" s="63"/>
      <c r="I90" s="63"/>
      <c r="J90" s="63"/>
      <c r="K90" s="63"/>
      <c r="L90" s="63"/>
      <c r="M90" s="63"/>
      <c r="N90" s="63"/>
      <c r="O90" s="63"/>
      <c r="P90" s="63"/>
      <c r="Q90" s="63"/>
      <c r="R90" s="63"/>
      <c r="S90" s="63"/>
      <c r="T90" s="63"/>
      <c r="U90" s="63"/>
      <c r="V90" s="63"/>
      <c r="W90" s="63"/>
    </row>
    <row r="91" spans="1:23">
      <c r="A91" s="63"/>
      <c r="B91" s="63"/>
      <c r="C91" s="63"/>
      <c r="D91" s="63"/>
      <c r="E91" s="63"/>
      <c r="F91" s="63"/>
      <c r="G91" s="63"/>
      <c r="H91" s="63"/>
      <c r="I91" s="63"/>
      <c r="J91" s="63"/>
      <c r="K91" s="63"/>
      <c r="L91" s="63"/>
      <c r="M91" s="63"/>
      <c r="N91" s="63"/>
      <c r="O91" s="63"/>
      <c r="P91" s="63"/>
      <c r="Q91" s="63"/>
      <c r="R91" s="63"/>
      <c r="S91" s="63"/>
      <c r="T91" s="63"/>
      <c r="U91" s="63"/>
      <c r="V91" s="63"/>
      <c r="W91" s="63"/>
    </row>
    <row r="92" spans="1:23">
      <c r="A92" s="63"/>
      <c r="B92" s="63"/>
      <c r="C92" s="63"/>
      <c r="D92" s="63"/>
      <c r="E92" s="63"/>
      <c r="F92" s="63"/>
      <c r="G92" s="63"/>
      <c r="H92" s="63"/>
      <c r="I92" s="63"/>
      <c r="J92" s="63"/>
      <c r="K92" s="63"/>
      <c r="L92" s="63"/>
      <c r="M92" s="63"/>
      <c r="N92" s="63"/>
      <c r="O92" s="63"/>
      <c r="P92" s="63"/>
      <c r="Q92" s="63"/>
      <c r="R92" s="63"/>
      <c r="S92" s="63"/>
      <c r="T92" s="63"/>
      <c r="U92" s="63"/>
      <c r="V92" s="63"/>
      <c r="W92" s="63"/>
    </row>
    <row r="93" spans="1:23">
      <c r="A93" s="63"/>
      <c r="B93" s="63"/>
      <c r="C93" s="63"/>
      <c r="D93" s="63"/>
      <c r="E93" s="63"/>
      <c r="F93" s="63"/>
      <c r="G93" s="63"/>
      <c r="H93" s="63"/>
      <c r="I93" s="63"/>
      <c r="J93" s="63"/>
      <c r="K93" s="63"/>
      <c r="L93" s="63"/>
      <c r="M93" s="63"/>
      <c r="N93" s="63"/>
      <c r="O93" s="63"/>
      <c r="P93" s="63"/>
      <c r="Q93" s="63"/>
      <c r="R93" s="63"/>
      <c r="S93" s="63"/>
      <c r="T93" s="63"/>
      <c r="U93" s="63"/>
      <c r="V93" s="63"/>
      <c r="W93" s="63"/>
    </row>
    <row r="94" spans="1:23">
      <c r="A94" s="63"/>
      <c r="B94" s="63"/>
      <c r="C94" s="63"/>
      <c r="D94" s="63"/>
      <c r="E94" s="63"/>
      <c r="F94" s="63"/>
      <c r="G94" s="63"/>
      <c r="H94" s="63"/>
      <c r="I94" s="63"/>
      <c r="J94" s="63"/>
      <c r="K94" s="63"/>
      <c r="L94" s="63"/>
      <c r="M94" s="63"/>
      <c r="N94" s="63"/>
      <c r="O94" s="63"/>
      <c r="P94" s="63"/>
      <c r="Q94" s="63"/>
      <c r="R94" s="63"/>
      <c r="S94" s="63"/>
      <c r="T94" s="63"/>
      <c r="U94" s="63"/>
      <c r="V94" s="63"/>
      <c r="W94" s="63"/>
    </row>
  </sheetData>
  <sheetProtection password="EAD7" sheet="1" objects="1" scenarios="1"/>
  <mergeCells count="11">
    <mergeCell ref="G8:G9"/>
    <mergeCell ref="H8:H9"/>
    <mergeCell ref="C8:C9"/>
    <mergeCell ref="D8:D9"/>
    <mergeCell ref="E8:E9"/>
    <mergeCell ref="F8:F9"/>
    <mergeCell ref="C2:E2"/>
    <mergeCell ref="G2:H2"/>
    <mergeCell ref="C7:D7"/>
    <mergeCell ref="E7:F7"/>
    <mergeCell ref="G7:H7"/>
  </mergeCells>
  <hyperlinks>
    <hyperlink ref="G2" location="Startseite!C7" display="zurück zur Startseite" xr:uid="{00000000-0004-0000-0A00-000000000000}"/>
    <hyperlink ref="C2" location="Rentabilität!B8" display="zur Rentabilitätsberechnung" xr:uid="{00000000-0004-0000-0A00-000001000000}"/>
    <hyperlink ref="C2:E2" location="Rentabilität!D11" display="zur Rentabilitätsberechnung" xr:uid="{00000000-0004-0000-0A00-000002000000}"/>
  </hyperlinks>
  <printOptions horizontalCentered="1"/>
  <pageMargins left="0.39370078740157483" right="0.39370078740157483" top="0.78740157480314965" bottom="0" header="0.51181102362204722" footer="0.51181102362204722"/>
  <pageSetup paperSize="9"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1">
    <tabColor theme="4" tint="0.79998168889431442"/>
  </sheetPr>
  <dimension ref="A2:AJ134"/>
  <sheetViews>
    <sheetView showGridLines="0" zoomScaleNormal="100" workbookViewId="0">
      <selection activeCell="E53" sqref="E53"/>
    </sheetView>
  </sheetViews>
  <sheetFormatPr baseColWidth="10" defaultColWidth="11.44140625" defaultRowHeight="13.2" outlineLevelRow="1" outlineLevelCol="1"/>
  <cols>
    <col min="1" max="1" width="23.33203125" style="2" customWidth="1"/>
    <col min="2" max="2" width="5.5546875" style="2" customWidth="1"/>
    <col min="3" max="3" width="39.6640625" style="2" customWidth="1"/>
    <col min="4" max="4" width="14.44140625" style="2" customWidth="1"/>
    <col min="5" max="5" width="10.33203125" style="2" customWidth="1"/>
    <col min="6" max="6" width="10.6640625" style="2" customWidth="1"/>
    <col min="7" max="7" width="10.5546875" style="2" customWidth="1"/>
    <col min="8" max="8" width="10.6640625" style="2" customWidth="1"/>
    <col min="9" max="9" width="9.33203125" style="2" customWidth="1"/>
    <col min="10" max="10" width="10.6640625" style="2" customWidth="1"/>
    <col min="11" max="11" width="8.88671875" style="2" customWidth="1"/>
    <col min="12" max="12" width="3.109375" style="2" hidden="1" customWidth="1" outlineLevel="1"/>
    <col min="13" max="13" width="26.109375" style="2" hidden="1" customWidth="1" outlineLevel="1"/>
    <col min="14" max="14" width="39.6640625" style="2" hidden="1" customWidth="1" outlineLevel="1"/>
    <col min="15" max="15" width="14.44140625" style="2" hidden="1" customWidth="1" outlineLevel="1"/>
    <col min="16" max="16" width="10.33203125" style="2" hidden="1" customWidth="1" outlineLevel="1"/>
    <col min="17" max="17" width="10.6640625" style="2" hidden="1" customWidth="1" outlineLevel="1"/>
    <col min="18" max="18" width="10.5546875" style="2" hidden="1" customWidth="1" outlineLevel="1"/>
    <col min="19" max="19" width="10.6640625" style="2" hidden="1" customWidth="1" outlineLevel="1"/>
    <col min="20" max="20" width="9.33203125" style="2" hidden="1" customWidth="1" outlineLevel="1"/>
    <col min="21" max="21" width="10.6640625" style="2" hidden="1" customWidth="1" outlineLevel="1"/>
    <col min="22" max="22" width="8.88671875" style="2" hidden="1" customWidth="1" outlineLevel="1"/>
    <col min="23" max="23" width="3.109375" style="2" hidden="1" customWidth="1" outlineLevel="1"/>
    <col min="24" max="24" width="26.109375" style="2" hidden="1" customWidth="1" outlineLevel="1"/>
    <col min="25" max="25" width="39.6640625" style="2" hidden="1" customWidth="1" outlineLevel="1" collapsed="1"/>
    <col min="26" max="26" width="14.44140625" style="2" hidden="1" customWidth="1" outlineLevel="1"/>
    <col min="27" max="27" width="10.33203125" style="2" hidden="1" customWidth="1" outlineLevel="1"/>
    <col min="28" max="28" width="10.6640625" style="2" hidden="1" customWidth="1" outlineLevel="1"/>
    <col min="29" max="29" width="10.5546875" style="2" hidden="1" customWidth="1" outlineLevel="1"/>
    <col min="30" max="30" width="10.6640625" style="2" hidden="1" customWidth="1" outlineLevel="1"/>
    <col min="31" max="31" width="9.33203125" style="2" hidden="1" customWidth="1" outlineLevel="1"/>
    <col min="32" max="32" width="10.6640625" style="2" hidden="1" customWidth="1" outlineLevel="1"/>
    <col min="33" max="33" width="8.88671875" style="2" hidden="1" customWidth="1" outlineLevel="1"/>
    <col min="34" max="34" width="3.109375" style="2" hidden="1" customWidth="1" outlineLevel="1"/>
    <col min="35" max="35" width="26.109375" style="2" hidden="1" customWidth="1" outlineLevel="1"/>
    <col min="36" max="36" width="11.44140625" style="2" customWidth="1" collapsed="1"/>
    <col min="37" max="16384" width="11.44140625" style="2"/>
  </cols>
  <sheetData>
    <row r="2" spans="1:33" ht="12.75" customHeight="1">
      <c r="A2" s="1156" t="s">
        <v>567</v>
      </c>
      <c r="E2" s="1146" t="s">
        <v>503</v>
      </c>
      <c r="F2" s="1151"/>
      <c r="G2" s="1147"/>
      <c r="I2" s="1144" t="s">
        <v>502</v>
      </c>
      <c r="J2" s="1208"/>
      <c r="K2" s="1145"/>
    </row>
    <row r="3" spans="1:33">
      <c r="A3" s="1157"/>
    </row>
    <row r="4" spans="1:33">
      <c r="A4" s="1157"/>
      <c r="C4" s="63"/>
      <c r="D4" s="63"/>
      <c r="E4" s="132"/>
      <c r="F4" s="132"/>
      <c r="G4" s="132"/>
      <c r="H4" s="346"/>
      <c r="I4" s="63"/>
      <c r="J4" s="63"/>
      <c r="K4" s="63"/>
      <c r="L4" s="63"/>
      <c r="M4" s="63"/>
      <c r="N4" s="63"/>
      <c r="O4" s="63"/>
      <c r="P4" s="63"/>
      <c r="Q4" s="63"/>
      <c r="R4" s="63"/>
      <c r="S4" s="63"/>
      <c r="T4" s="63"/>
      <c r="Y4" s="63"/>
      <c r="Z4" s="63"/>
      <c r="AA4" s="63"/>
      <c r="AB4" s="63"/>
      <c r="AC4" s="63"/>
      <c r="AD4" s="63"/>
      <c r="AE4" s="63"/>
    </row>
    <row r="5" spans="1:33" ht="15.6">
      <c r="A5" s="1157"/>
      <c r="C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D5" s="116"/>
      <c r="E5" s="132"/>
      <c r="F5" s="132"/>
      <c r="G5" s="132"/>
      <c r="H5" s="346"/>
      <c r="I5" s="63"/>
      <c r="J5" s="63"/>
      <c r="K5" s="63"/>
      <c r="L5" s="63"/>
      <c r="M5" s="63"/>
      <c r="N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O5" s="116"/>
      <c r="P5" s="132"/>
      <c r="Q5" s="132"/>
      <c r="R5" s="132"/>
      <c r="S5" s="346"/>
      <c r="T5" s="63"/>
      <c r="U5" s="63"/>
      <c r="V5" s="63"/>
      <c r="Y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Z5" s="116"/>
      <c r="AA5" s="132"/>
      <c r="AB5" s="132"/>
      <c r="AC5" s="132"/>
      <c r="AD5" s="346"/>
      <c r="AE5" s="63"/>
      <c r="AF5" s="63"/>
      <c r="AG5" s="63"/>
    </row>
    <row r="6" spans="1:33">
      <c r="A6" s="1157"/>
      <c r="C6" s="1029" t="s">
        <v>566</v>
      </c>
      <c r="D6" s="63"/>
      <c r="E6" s="63"/>
      <c r="G6" s="63"/>
      <c r="H6" s="63"/>
      <c r="I6" s="63"/>
      <c r="J6" s="63"/>
      <c r="K6" s="63"/>
      <c r="L6" s="63"/>
      <c r="M6" s="63"/>
      <c r="N6" s="1029" t="s">
        <v>566</v>
      </c>
      <c r="O6" s="63"/>
      <c r="P6" s="63"/>
      <c r="R6" s="63"/>
      <c r="S6" s="63"/>
      <c r="T6" s="63"/>
      <c r="U6" s="63"/>
      <c r="V6" s="63"/>
      <c r="Y6" s="1029" t="s">
        <v>566</v>
      </c>
      <c r="Z6" s="63"/>
      <c r="AA6" s="63"/>
      <c r="AC6" s="63"/>
      <c r="AD6" s="63"/>
      <c r="AE6" s="63"/>
      <c r="AF6" s="63"/>
      <c r="AG6" s="63"/>
    </row>
    <row r="7" spans="1:33">
      <c r="A7" s="1158"/>
      <c r="C7" s="69"/>
      <c r="D7" s="69"/>
      <c r="E7" s="69"/>
      <c r="F7" s="69"/>
      <c r="G7" s="69"/>
      <c r="H7" s="69"/>
      <c r="I7" s="69"/>
      <c r="J7" s="69"/>
      <c r="K7" s="69"/>
      <c r="L7" s="63"/>
      <c r="M7" s="63"/>
      <c r="N7" s="69"/>
      <c r="O7" s="69"/>
      <c r="P7" s="69"/>
      <c r="Q7" s="69"/>
      <c r="R7" s="69"/>
      <c r="S7" s="69"/>
      <c r="T7" s="69"/>
      <c r="U7" s="69"/>
      <c r="V7" s="69"/>
      <c r="Y7" s="69"/>
      <c r="Z7" s="69"/>
      <c r="AA7" s="69"/>
      <c r="AB7" s="69"/>
      <c r="AC7" s="69"/>
      <c r="AD7" s="69"/>
      <c r="AE7" s="69"/>
      <c r="AF7" s="69"/>
      <c r="AG7" s="69"/>
    </row>
    <row r="8" spans="1:33" ht="12.75" customHeight="1">
      <c r="A8" s="22"/>
      <c r="C8" s="1166" t="str">
        <f>IF(OR(Startseite!A50=Startseite!B46,Startseite!A50=Startseite!B47,Startseite!A50=Startseite!B48),"Notwendiges Geschäftsführergehalt","Notwendiger Unternehmerlohn")</f>
        <v>Notwendiger Unternehmerlohn</v>
      </c>
      <c r="D8" s="1167"/>
      <c r="E8" s="1168"/>
      <c r="F8" s="375" t="s">
        <v>22</v>
      </c>
      <c r="G8" s="374"/>
      <c r="H8" s="375" t="s">
        <v>23</v>
      </c>
      <c r="I8" s="374"/>
      <c r="J8" s="375" t="s">
        <v>24</v>
      </c>
      <c r="K8" s="374"/>
      <c r="L8" s="63"/>
      <c r="M8" s="63"/>
      <c r="N8" s="1166" t="str">
        <f>IF(OR(Startseite!A50=Startseite!B46,Startseite!A50=Startseite!B47,Startseite!A50=Startseite!B48),"Notwendiges Geschäftsführergehalt","Notwendiger Unternehmerlohn")</f>
        <v>Notwendiger Unternehmerlohn</v>
      </c>
      <c r="O8" s="1167"/>
      <c r="P8" s="1168"/>
      <c r="Q8" s="375" t="s">
        <v>22</v>
      </c>
      <c r="R8" s="374"/>
      <c r="S8" s="375" t="s">
        <v>23</v>
      </c>
      <c r="T8" s="374"/>
      <c r="U8" s="375" t="s">
        <v>24</v>
      </c>
      <c r="V8" s="374"/>
      <c r="Y8" s="1166" t="str">
        <f>IF(OR(Startseite!A50=Startseite!B46,Startseite!A50=Startseite!B47,Startseite!A50=Startseite!B48),"Notwendiges Geschäftsführergehalt","Notwendiger Unternehmerlohn")</f>
        <v>Notwendiger Unternehmerlohn</v>
      </c>
      <c r="Z8" s="1167"/>
      <c r="AA8" s="1168"/>
      <c r="AB8" s="375" t="s">
        <v>22</v>
      </c>
      <c r="AC8" s="374"/>
      <c r="AD8" s="375" t="s">
        <v>23</v>
      </c>
      <c r="AE8" s="374"/>
      <c r="AF8" s="375" t="s">
        <v>24</v>
      </c>
      <c r="AG8" s="374"/>
    </row>
    <row r="9" spans="1:33" ht="12.75" customHeight="1">
      <c r="A9" s="22"/>
      <c r="C9" s="1169"/>
      <c r="D9" s="1170"/>
      <c r="E9" s="1171"/>
      <c r="F9" s="1152" t="str">
        <f>CONCATENATE("(",TEXT('Personalkosten 1. Jahr'!$M$4,"MMM. JJJJ")," - ",TEXT('Personalkosten 1. Jahr'!$O$4,"MMM. JJJJ"),")")</f>
        <v>(Nov. 2024 - Okt. 2025)</v>
      </c>
      <c r="G9" s="1153"/>
      <c r="H9" s="1152" t="str">
        <f>CONCATENATE("(",TEXT('Personalkosten 2. Jahr'!$K$4,"MMM. JJJJ")," - ",TEXT('Personalkosten 2. Jahr'!$M$4,"MMM. JJJJ"),")")</f>
        <v>(Nov. 2025 - Okt. 2026)</v>
      </c>
      <c r="I9" s="1153"/>
      <c r="J9" s="1152" t="str">
        <f>CONCATENATE("(",TEXT('Personalkosten 3. Jahr'!$K$4,"MMM. JJJJ")," - ",TEXT('Personalkosten 3. Jahr'!$M$4,"MMM. JJJJ"),")")</f>
        <v>(Nov. 2026 - Okt. 2027)</v>
      </c>
      <c r="K9" s="1153"/>
      <c r="L9" s="63"/>
      <c r="M9" s="63"/>
      <c r="N9" s="1169"/>
      <c r="O9" s="1170"/>
      <c r="P9" s="1171"/>
      <c r="Q9" s="1152" t="str">
        <f>CONCATENATE("(",TEXT('Personalkosten 1. Jahr'!$M$4,"MMM. JJJJ")," - ",TEXT('Personalkosten 1. Jahr'!$O$4,"MMM. JJJJ"),")")</f>
        <v>(Nov. 2024 - Okt. 2025)</v>
      </c>
      <c r="R9" s="1153"/>
      <c r="S9" s="1152" t="str">
        <f>CONCATENATE("(",TEXT('Personalkosten 2. Jahr'!$K$4,"MMM. JJJJ")," - ",TEXT('Personalkosten 2. Jahr'!$M$4,"MMM. JJJJ"),")")</f>
        <v>(Nov. 2025 - Okt. 2026)</v>
      </c>
      <c r="T9" s="1153"/>
      <c r="U9" s="1152" t="str">
        <f>CONCATENATE("(",TEXT('Personalkosten 3. Jahr'!$K$4,"MMM. JJJJ")," - ",TEXT('Personalkosten 3. Jahr'!$M$4,"MMM. JJJJ"),")")</f>
        <v>(Nov. 2026 - Okt. 2027)</v>
      </c>
      <c r="V9" s="1153"/>
      <c r="Y9" s="1169"/>
      <c r="Z9" s="1170"/>
      <c r="AA9" s="1171"/>
      <c r="AB9" s="1152" t="str">
        <f>CONCATENATE("(",TEXT('Personalkosten 1. Jahr'!$M$4,"MMM. JJJJ")," - ",TEXT('Personalkosten 1. Jahr'!$O$4,"MMM. JJJJ"),")")</f>
        <v>(Nov. 2024 - Okt. 2025)</v>
      </c>
      <c r="AC9" s="1153"/>
      <c r="AD9" s="1152" t="str">
        <f>CONCATENATE("(",TEXT('Personalkosten 2. Jahr'!$K$4,"MMM. JJJJ")," - ",TEXT('Personalkosten 2. Jahr'!$M$4,"MMM. JJJJ"),")")</f>
        <v>(Nov. 2025 - Okt. 2026)</v>
      </c>
      <c r="AE9" s="1153"/>
      <c r="AF9" s="1152" t="str">
        <f>CONCATENATE("(",TEXT('Personalkosten 3. Jahr'!$K$4,"MMM. JJJJ")," - ",TEXT('Personalkosten 3. Jahr'!$M$4,"MMM. JJJJ"),")")</f>
        <v>(Nov. 2026 - Okt. 2027)</v>
      </c>
      <c r="AG9" s="1153"/>
    </row>
    <row r="10" spans="1:33" ht="12.75" customHeight="1">
      <c r="A10" s="22"/>
      <c r="C10" s="1172"/>
      <c r="D10" s="1173"/>
      <c r="E10" s="1174"/>
      <c r="F10" s="129" t="s">
        <v>29</v>
      </c>
      <c r="G10" s="376" t="s">
        <v>1</v>
      </c>
      <c r="H10" s="129" t="s">
        <v>29</v>
      </c>
      <c r="I10" s="376" t="s">
        <v>1</v>
      </c>
      <c r="J10" s="129" t="s">
        <v>29</v>
      </c>
      <c r="K10" s="376" t="s">
        <v>1</v>
      </c>
      <c r="L10" s="63"/>
      <c r="M10" s="63"/>
      <c r="N10" s="1172"/>
      <c r="O10" s="1173"/>
      <c r="P10" s="1174"/>
      <c r="Q10" s="129" t="s">
        <v>29</v>
      </c>
      <c r="R10" s="376" t="s">
        <v>1</v>
      </c>
      <c r="S10" s="129" t="s">
        <v>29</v>
      </c>
      <c r="T10" s="376" t="s">
        <v>1</v>
      </c>
      <c r="U10" s="129" t="s">
        <v>29</v>
      </c>
      <c r="V10" s="376" t="s">
        <v>1</v>
      </c>
      <c r="Y10" s="1172"/>
      <c r="Z10" s="1173"/>
      <c r="AA10" s="1174"/>
      <c r="AB10" s="129" t="s">
        <v>29</v>
      </c>
      <c r="AC10" s="376" t="s">
        <v>1</v>
      </c>
      <c r="AD10" s="129" t="s">
        <v>29</v>
      </c>
      <c r="AE10" s="376" t="s">
        <v>1</v>
      </c>
      <c r="AF10" s="129" t="s">
        <v>29</v>
      </c>
      <c r="AG10" s="376" t="s">
        <v>1</v>
      </c>
    </row>
    <row r="11" spans="1:33">
      <c r="C11" s="372"/>
      <c r="D11" s="364"/>
      <c r="E11" s="364"/>
      <c r="F11" s="72"/>
      <c r="G11" s="72"/>
      <c r="H11" s="72"/>
      <c r="I11" s="365"/>
      <c r="J11" s="72"/>
      <c r="K11" s="72"/>
      <c r="L11" s="63"/>
      <c r="M11" s="63"/>
      <c r="N11" s="372"/>
      <c r="O11" s="364"/>
      <c r="P11" s="364"/>
      <c r="Q11" s="72"/>
      <c r="R11" s="72"/>
      <c r="S11" s="72"/>
      <c r="T11" s="365"/>
      <c r="U11" s="72"/>
      <c r="V11" s="72"/>
      <c r="Y11" s="372"/>
      <c r="Z11" s="364"/>
      <c r="AA11" s="364"/>
      <c r="AB11" s="72"/>
      <c r="AC11" s="72"/>
      <c r="AD11" s="72"/>
      <c r="AE11" s="365"/>
      <c r="AF11" s="72"/>
      <c r="AG11" s="72"/>
    </row>
    <row r="12" spans="1:33">
      <c r="C12" s="140" t="s">
        <v>245</v>
      </c>
      <c r="D12" s="67"/>
      <c r="E12" s="63"/>
      <c r="F12" s="377"/>
      <c r="G12" s="378"/>
      <c r="H12" s="221"/>
      <c r="I12" s="378"/>
      <c r="J12" s="377"/>
      <c r="K12" s="378"/>
      <c r="L12" s="63"/>
      <c r="M12" s="63"/>
      <c r="N12" s="140" t="s">
        <v>245</v>
      </c>
      <c r="O12" s="67"/>
      <c r="P12" s="63"/>
      <c r="Q12" s="377"/>
      <c r="R12" s="378"/>
      <c r="S12" s="221"/>
      <c r="T12" s="378"/>
      <c r="U12" s="377"/>
      <c r="V12" s="378"/>
      <c r="Y12" s="140" t="s">
        <v>245</v>
      </c>
      <c r="Z12" s="67"/>
      <c r="AA12" s="63"/>
      <c r="AB12" s="377"/>
      <c r="AC12" s="378"/>
      <c r="AD12" s="221"/>
      <c r="AE12" s="378"/>
      <c r="AF12" s="377"/>
      <c r="AG12" s="378"/>
    </row>
    <row r="13" spans="1:33">
      <c r="C13" s="379"/>
      <c r="D13" s="380"/>
      <c r="E13" s="381" t="s">
        <v>108</v>
      </c>
      <c r="F13" s="808"/>
      <c r="G13" s="104" t="str">
        <f t="shared" ref="G13:G26" si="0">IF(F13&gt;0,F13/$F$27*$G$27," ")</f>
        <v xml:space="preserve"> </v>
      </c>
      <c r="H13" s="808" t="str">
        <f>IF(F13&gt;0,F13,"")</f>
        <v/>
      </c>
      <c r="I13" s="104" t="str">
        <f>IF(H13="","",H13/$H$27*$I$27)</f>
        <v/>
      </c>
      <c r="J13" s="808" t="str">
        <f>IF(H13&gt;0,H13,"")</f>
        <v/>
      </c>
      <c r="K13" s="104" t="str">
        <f>IF(J13="","",J13/$J$27*$K$27)</f>
        <v/>
      </c>
      <c r="L13" s="63"/>
      <c r="M13" s="63"/>
      <c r="N13" s="379"/>
      <c r="O13" s="380"/>
      <c r="P13" s="381" t="s">
        <v>108</v>
      </c>
      <c r="Q13" s="808"/>
      <c r="R13" s="104" t="str">
        <f>IF(Q13&gt;0,Q13/$Q$27*$R$27," ")</f>
        <v xml:space="preserve"> </v>
      </c>
      <c r="S13" s="808"/>
      <c r="T13" s="104" t="str">
        <f>IF(S13&gt;0,S13/$S$27*$T$27," ")</f>
        <v xml:space="preserve"> </v>
      </c>
      <c r="U13" s="808"/>
      <c r="V13" s="104" t="str">
        <f>IF(U13&gt;0,U13/$U$27*$V$27," ")</f>
        <v xml:space="preserve"> </v>
      </c>
      <c r="Y13" s="379"/>
      <c r="Z13" s="380"/>
      <c r="AA13" s="381" t="s">
        <v>108</v>
      </c>
      <c r="AB13" s="808"/>
      <c r="AC13" s="104" t="str">
        <f>IF(AB13&gt;0,AB13/$AB$27*$AC$27," ")</f>
        <v xml:space="preserve"> </v>
      </c>
      <c r="AD13" s="808"/>
      <c r="AE13" s="104" t="str">
        <f>IF(AD13&gt;0,AD13/$AD$27*$AE$27," ")</f>
        <v xml:space="preserve"> </v>
      </c>
      <c r="AF13" s="808"/>
      <c r="AG13" s="104" t="str">
        <f>IF(AF13&gt;0,AF13/$AF$27*$AG$27," ")</f>
        <v xml:space="preserve"> </v>
      </c>
    </row>
    <row r="14" spans="1:33">
      <c r="C14" s="379"/>
      <c r="D14" s="380"/>
      <c r="E14" s="381" t="s">
        <v>109</v>
      </c>
      <c r="F14" s="808"/>
      <c r="G14" s="104" t="str">
        <f t="shared" si="0"/>
        <v xml:space="preserve"> </v>
      </c>
      <c r="H14" s="808" t="str">
        <f t="shared" ref="H14:H26" si="1">IF(F14&gt;0,F14,"")</f>
        <v/>
      </c>
      <c r="I14" s="104" t="str">
        <f t="shared" ref="I14:I26" si="2">IF(H14="","",H14/$H$27*$I$27)</f>
        <v/>
      </c>
      <c r="J14" s="808" t="str">
        <f t="shared" ref="J14:J26" si="3">IF(H14&gt;0,H14,"")</f>
        <v/>
      </c>
      <c r="K14" s="104" t="str">
        <f t="shared" ref="K14:K26" si="4">IF(J14="","",J14/$J$27*$K$27)</f>
        <v/>
      </c>
      <c r="L14" s="63"/>
      <c r="M14" s="63"/>
      <c r="N14" s="379"/>
      <c r="O14" s="380"/>
      <c r="P14" s="381" t="s">
        <v>109</v>
      </c>
      <c r="Q14" s="808"/>
      <c r="R14" s="104" t="str">
        <f t="shared" ref="R14:R26" si="5">IF(Q14&gt;0,Q14/$Q$27*$R$27," ")</f>
        <v xml:space="preserve"> </v>
      </c>
      <c r="S14" s="808"/>
      <c r="T14" s="104" t="str">
        <f t="shared" ref="T14:T26" si="6">IF(S14&gt;0,S14/$S$27*$T$27," ")</f>
        <v xml:space="preserve"> </v>
      </c>
      <c r="U14" s="808"/>
      <c r="V14" s="104" t="str">
        <f t="shared" ref="V14:V26" si="7">IF(U14&gt;0,U14/$U$27*$V$27," ")</f>
        <v xml:space="preserve"> </v>
      </c>
      <c r="Y14" s="379"/>
      <c r="Z14" s="380"/>
      <c r="AA14" s="381" t="s">
        <v>109</v>
      </c>
      <c r="AB14" s="808"/>
      <c r="AC14" s="104" t="str">
        <f t="shared" ref="AC14:AC26" si="8">IF(AB14&gt;0,AB14/$AB$27*$AC$27," ")</f>
        <v xml:space="preserve"> </v>
      </c>
      <c r="AD14" s="808"/>
      <c r="AE14" s="104" t="str">
        <f t="shared" ref="AE14:AE26" si="9">IF(AD14&gt;0,AD14/$AD$27*$AE$27," ")</f>
        <v xml:space="preserve"> </v>
      </c>
      <c r="AF14" s="808"/>
      <c r="AG14" s="104" t="str">
        <f t="shared" ref="AG14:AG26" si="10">IF(AF14&gt;0,AF14/$AF$27*$AG$27," ")</f>
        <v xml:space="preserve"> </v>
      </c>
    </row>
    <row r="15" spans="1:33" ht="12.75" customHeight="1">
      <c r="C15" s="379"/>
      <c r="D15" s="380"/>
      <c r="E15" s="381" t="s">
        <v>40</v>
      </c>
      <c r="F15" s="808"/>
      <c r="G15" s="104" t="str">
        <f t="shared" si="0"/>
        <v xml:space="preserve"> </v>
      </c>
      <c r="H15" s="808" t="str">
        <f t="shared" si="1"/>
        <v/>
      </c>
      <c r="I15" s="104" t="str">
        <f t="shared" si="2"/>
        <v/>
      </c>
      <c r="J15" s="808" t="str">
        <f t="shared" si="3"/>
        <v/>
      </c>
      <c r="K15" s="104" t="str">
        <f t="shared" si="4"/>
        <v/>
      </c>
      <c r="L15" s="63"/>
      <c r="M15" s="63"/>
      <c r="N15" s="379"/>
      <c r="O15" s="380"/>
      <c r="P15" s="381" t="s">
        <v>40</v>
      </c>
      <c r="Q15" s="808"/>
      <c r="R15" s="104" t="str">
        <f t="shared" si="5"/>
        <v xml:space="preserve"> </v>
      </c>
      <c r="S15" s="811"/>
      <c r="T15" s="382" t="str">
        <f t="shared" si="6"/>
        <v xml:space="preserve"> </v>
      </c>
      <c r="U15" s="809"/>
      <c r="V15" s="104" t="str">
        <f t="shared" si="7"/>
        <v xml:space="preserve"> </v>
      </c>
      <c r="Y15" s="379"/>
      <c r="Z15" s="380"/>
      <c r="AA15" s="381" t="s">
        <v>40</v>
      </c>
      <c r="AB15" s="808"/>
      <c r="AC15" s="104" t="str">
        <f t="shared" si="8"/>
        <v xml:space="preserve"> </v>
      </c>
      <c r="AD15" s="811"/>
      <c r="AE15" s="382" t="str">
        <f t="shared" si="9"/>
        <v xml:space="preserve"> </v>
      </c>
      <c r="AF15" s="809"/>
      <c r="AG15" s="104" t="str">
        <f t="shared" si="10"/>
        <v xml:space="preserve"> </v>
      </c>
    </row>
    <row r="16" spans="1:33">
      <c r="C16" s="379"/>
      <c r="D16" s="380"/>
      <c r="E16" s="381" t="s">
        <v>110</v>
      </c>
      <c r="F16" s="808"/>
      <c r="G16" s="104" t="str">
        <f t="shared" si="0"/>
        <v xml:space="preserve"> </v>
      </c>
      <c r="H16" s="808" t="str">
        <f t="shared" si="1"/>
        <v/>
      </c>
      <c r="I16" s="104" t="str">
        <f t="shared" si="2"/>
        <v/>
      </c>
      <c r="J16" s="808" t="str">
        <f t="shared" si="3"/>
        <v/>
      </c>
      <c r="K16" s="104" t="str">
        <f t="shared" si="4"/>
        <v/>
      </c>
      <c r="L16" s="63"/>
      <c r="M16" s="63"/>
      <c r="N16" s="379"/>
      <c r="O16" s="380"/>
      <c r="P16" s="381" t="s">
        <v>110</v>
      </c>
      <c r="Q16" s="808"/>
      <c r="R16" s="104" t="str">
        <f t="shared" si="5"/>
        <v xml:space="preserve"> </v>
      </c>
      <c r="S16" s="811"/>
      <c r="T16" s="382" t="str">
        <f t="shared" si="6"/>
        <v xml:space="preserve"> </v>
      </c>
      <c r="U16" s="809"/>
      <c r="V16" s="104" t="str">
        <f t="shared" si="7"/>
        <v xml:space="preserve"> </v>
      </c>
      <c r="Y16" s="379"/>
      <c r="Z16" s="380"/>
      <c r="AA16" s="381" t="s">
        <v>110</v>
      </c>
      <c r="AB16" s="808"/>
      <c r="AC16" s="104" t="str">
        <f t="shared" si="8"/>
        <v xml:space="preserve"> </v>
      </c>
      <c r="AD16" s="811"/>
      <c r="AE16" s="382" t="str">
        <f t="shared" si="9"/>
        <v xml:space="preserve"> </v>
      </c>
      <c r="AF16" s="809"/>
      <c r="AG16" s="104" t="str">
        <f t="shared" si="10"/>
        <v xml:space="preserve"> </v>
      </c>
    </row>
    <row r="17" spans="3:33">
      <c r="C17" s="379"/>
      <c r="D17" s="380"/>
      <c r="E17" s="381" t="s">
        <v>111</v>
      </c>
      <c r="F17" s="808"/>
      <c r="G17" s="104" t="str">
        <f t="shared" si="0"/>
        <v xml:space="preserve"> </v>
      </c>
      <c r="H17" s="808" t="str">
        <f t="shared" si="1"/>
        <v/>
      </c>
      <c r="I17" s="104" t="str">
        <f t="shared" si="2"/>
        <v/>
      </c>
      <c r="J17" s="808" t="str">
        <f t="shared" si="3"/>
        <v/>
      </c>
      <c r="K17" s="104" t="str">
        <f t="shared" si="4"/>
        <v/>
      </c>
      <c r="L17" s="63"/>
      <c r="M17" s="63"/>
      <c r="N17" s="379"/>
      <c r="O17" s="380"/>
      <c r="P17" s="381" t="s">
        <v>111</v>
      </c>
      <c r="Q17" s="808"/>
      <c r="R17" s="104" t="str">
        <f t="shared" si="5"/>
        <v xml:space="preserve"> </v>
      </c>
      <c r="S17" s="811"/>
      <c r="T17" s="382" t="str">
        <f t="shared" si="6"/>
        <v xml:space="preserve"> </v>
      </c>
      <c r="U17" s="809"/>
      <c r="V17" s="104" t="str">
        <f t="shared" si="7"/>
        <v xml:space="preserve"> </v>
      </c>
      <c r="Y17" s="379"/>
      <c r="Z17" s="380"/>
      <c r="AA17" s="381" t="s">
        <v>111</v>
      </c>
      <c r="AB17" s="808"/>
      <c r="AC17" s="104" t="str">
        <f t="shared" si="8"/>
        <v xml:space="preserve"> </v>
      </c>
      <c r="AD17" s="811"/>
      <c r="AE17" s="382" t="str">
        <f t="shared" si="9"/>
        <v xml:space="preserve"> </v>
      </c>
      <c r="AF17" s="809"/>
      <c r="AG17" s="104" t="str">
        <f t="shared" si="10"/>
        <v xml:space="preserve"> </v>
      </c>
    </row>
    <row r="18" spans="3:33">
      <c r="C18" s="379"/>
      <c r="D18" s="380"/>
      <c r="E18" s="381" t="s">
        <v>112</v>
      </c>
      <c r="F18" s="808"/>
      <c r="G18" s="104" t="str">
        <f t="shared" si="0"/>
        <v xml:space="preserve"> </v>
      </c>
      <c r="H18" s="808" t="str">
        <f t="shared" si="1"/>
        <v/>
      </c>
      <c r="I18" s="104" t="str">
        <f t="shared" si="2"/>
        <v/>
      </c>
      <c r="J18" s="808" t="str">
        <f t="shared" si="3"/>
        <v/>
      </c>
      <c r="K18" s="104" t="str">
        <f t="shared" si="4"/>
        <v/>
      </c>
      <c r="L18" s="63"/>
      <c r="M18" s="63"/>
      <c r="N18" s="379"/>
      <c r="O18" s="380"/>
      <c r="P18" s="381" t="s">
        <v>112</v>
      </c>
      <c r="Q18" s="808"/>
      <c r="R18" s="104" t="str">
        <f t="shared" si="5"/>
        <v xml:space="preserve"> </v>
      </c>
      <c r="S18" s="811"/>
      <c r="T18" s="382" t="str">
        <f t="shared" si="6"/>
        <v xml:space="preserve"> </v>
      </c>
      <c r="U18" s="809"/>
      <c r="V18" s="104" t="str">
        <f t="shared" si="7"/>
        <v xml:space="preserve"> </v>
      </c>
      <c r="Y18" s="379"/>
      <c r="Z18" s="380"/>
      <c r="AA18" s="381" t="s">
        <v>112</v>
      </c>
      <c r="AB18" s="808"/>
      <c r="AC18" s="104" t="str">
        <f t="shared" si="8"/>
        <v xml:space="preserve"> </v>
      </c>
      <c r="AD18" s="811"/>
      <c r="AE18" s="382" t="str">
        <f t="shared" si="9"/>
        <v xml:space="preserve"> </v>
      </c>
      <c r="AF18" s="809"/>
      <c r="AG18" s="104" t="str">
        <f t="shared" si="10"/>
        <v xml:space="preserve"> </v>
      </c>
    </row>
    <row r="19" spans="3:33">
      <c r="C19" s="379"/>
      <c r="D19" s="380"/>
      <c r="E19" s="381" t="s">
        <v>113</v>
      </c>
      <c r="F19" s="808"/>
      <c r="G19" s="104" t="str">
        <f t="shared" si="0"/>
        <v xml:space="preserve"> </v>
      </c>
      <c r="H19" s="808" t="str">
        <f t="shared" si="1"/>
        <v/>
      </c>
      <c r="I19" s="104" t="str">
        <f t="shared" si="2"/>
        <v/>
      </c>
      <c r="J19" s="808" t="str">
        <f t="shared" si="3"/>
        <v/>
      </c>
      <c r="K19" s="104" t="str">
        <f t="shared" si="4"/>
        <v/>
      </c>
      <c r="L19" s="63"/>
      <c r="M19" s="63"/>
      <c r="N19" s="379"/>
      <c r="O19" s="380"/>
      <c r="P19" s="381" t="s">
        <v>113</v>
      </c>
      <c r="Q19" s="808"/>
      <c r="R19" s="104" t="str">
        <f t="shared" si="5"/>
        <v xml:space="preserve"> </v>
      </c>
      <c r="S19" s="808"/>
      <c r="T19" s="104" t="str">
        <f t="shared" si="6"/>
        <v xml:space="preserve"> </v>
      </c>
      <c r="U19" s="808"/>
      <c r="V19" s="104" t="str">
        <f t="shared" si="7"/>
        <v xml:space="preserve"> </v>
      </c>
      <c r="Y19" s="379"/>
      <c r="Z19" s="380"/>
      <c r="AA19" s="381" t="s">
        <v>113</v>
      </c>
      <c r="AB19" s="808"/>
      <c r="AC19" s="104" t="str">
        <f t="shared" si="8"/>
        <v xml:space="preserve"> </v>
      </c>
      <c r="AD19" s="811"/>
      <c r="AE19" s="382" t="str">
        <f t="shared" si="9"/>
        <v xml:space="preserve"> </v>
      </c>
      <c r="AF19" s="808"/>
      <c r="AG19" s="104" t="str">
        <f t="shared" si="10"/>
        <v xml:space="preserve"> </v>
      </c>
    </row>
    <row r="20" spans="3:33">
      <c r="C20" s="379"/>
      <c r="D20" s="380"/>
      <c r="E20" s="381" t="s">
        <v>130</v>
      </c>
      <c r="F20" s="808"/>
      <c r="G20" s="104" t="str">
        <f t="shared" si="0"/>
        <v xml:space="preserve"> </v>
      </c>
      <c r="H20" s="808" t="str">
        <f t="shared" si="1"/>
        <v/>
      </c>
      <c r="I20" s="104" t="str">
        <f t="shared" si="2"/>
        <v/>
      </c>
      <c r="J20" s="808" t="str">
        <f t="shared" si="3"/>
        <v/>
      </c>
      <c r="K20" s="104" t="str">
        <f t="shared" si="4"/>
        <v/>
      </c>
      <c r="L20" s="63"/>
      <c r="M20" s="63"/>
      <c r="N20" s="379"/>
      <c r="O20" s="380"/>
      <c r="P20" s="381" t="s">
        <v>130</v>
      </c>
      <c r="Q20" s="808"/>
      <c r="R20" s="104" t="str">
        <f t="shared" si="5"/>
        <v xml:space="preserve"> </v>
      </c>
      <c r="S20" s="808"/>
      <c r="T20" s="104" t="str">
        <f t="shared" si="6"/>
        <v xml:space="preserve"> </v>
      </c>
      <c r="U20" s="808"/>
      <c r="V20" s="104" t="str">
        <f t="shared" si="7"/>
        <v xml:space="preserve"> </v>
      </c>
      <c r="Y20" s="379"/>
      <c r="Z20" s="380"/>
      <c r="AA20" s="381" t="s">
        <v>130</v>
      </c>
      <c r="AB20" s="808"/>
      <c r="AC20" s="104" t="str">
        <f t="shared" si="8"/>
        <v xml:space="preserve"> </v>
      </c>
      <c r="AD20" s="808"/>
      <c r="AE20" s="104" t="str">
        <f t="shared" si="9"/>
        <v xml:space="preserve"> </v>
      </c>
      <c r="AF20" s="808"/>
      <c r="AG20" s="104" t="str">
        <f t="shared" si="10"/>
        <v xml:space="preserve"> </v>
      </c>
    </row>
    <row r="21" spans="3:33">
      <c r="C21" s="379"/>
      <c r="D21" s="380"/>
      <c r="E21" s="381" t="s">
        <v>114</v>
      </c>
      <c r="F21" s="808"/>
      <c r="G21" s="104" t="str">
        <f t="shared" si="0"/>
        <v xml:space="preserve"> </v>
      </c>
      <c r="H21" s="808" t="str">
        <f t="shared" si="1"/>
        <v/>
      </c>
      <c r="I21" s="104" t="str">
        <f t="shared" si="2"/>
        <v/>
      </c>
      <c r="J21" s="808" t="str">
        <f t="shared" si="3"/>
        <v/>
      </c>
      <c r="K21" s="104" t="str">
        <f t="shared" si="4"/>
        <v/>
      </c>
      <c r="L21" s="63"/>
      <c r="M21" s="63"/>
      <c r="N21" s="379"/>
      <c r="O21" s="380"/>
      <c r="P21" s="381" t="s">
        <v>114</v>
      </c>
      <c r="Q21" s="808"/>
      <c r="R21" s="104" t="str">
        <f t="shared" si="5"/>
        <v xml:space="preserve"> </v>
      </c>
      <c r="S21" s="808"/>
      <c r="T21" s="104" t="str">
        <f t="shared" si="6"/>
        <v xml:space="preserve"> </v>
      </c>
      <c r="U21" s="808"/>
      <c r="V21" s="104" t="str">
        <f t="shared" si="7"/>
        <v xml:space="preserve"> </v>
      </c>
      <c r="Y21" s="379"/>
      <c r="Z21" s="380"/>
      <c r="AA21" s="381" t="s">
        <v>114</v>
      </c>
      <c r="AB21" s="808"/>
      <c r="AC21" s="104" t="str">
        <f t="shared" si="8"/>
        <v xml:space="preserve"> </v>
      </c>
      <c r="AD21" s="808"/>
      <c r="AE21" s="104" t="str">
        <f t="shared" si="9"/>
        <v xml:space="preserve"> </v>
      </c>
      <c r="AF21" s="808"/>
      <c r="AG21" s="104" t="str">
        <f t="shared" si="10"/>
        <v xml:space="preserve"> </v>
      </c>
    </row>
    <row r="22" spans="3:33">
      <c r="C22" s="379"/>
      <c r="D22" s="380"/>
      <c r="E22" s="381" t="s">
        <v>115</v>
      </c>
      <c r="F22" s="808"/>
      <c r="G22" s="104" t="str">
        <f t="shared" si="0"/>
        <v xml:space="preserve"> </v>
      </c>
      <c r="H22" s="808" t="str">
        <f t="shared" si="1"/>
        <v/>
      </c>
      <c r="I22" s="104" t="str">
        <f t="shared" si="2"/>
        <v/>
      </c>
      <c r="J22" s="808" t="str">
        <f t="shared" si="3"/>
        <v/>
      </c>
      <c r="K22" s="104" t="str">
        <f t="shared" si="4"/>
        <v/>
      </c>
      <c r="L22" s="63"/>
      <c r="M22" s="63"/>
      <c r="N22" s="379"/>
      <c r="O22" s="380"/>
      <c r="P22" s="381" t="s">
        <v>115</v>
      </c>
      <c r="Q22" s="808"/>
      <c r="R22" s="104" t="str">
        <f t="shared" si="5"/>
        <v xml:space="preserve"> </v>
      </c>
      <c r="S22" s="808"/>
      <c r="T22" s="104" t="str">
        <f t="shared" si="6"/>
        <v xml:space="preserve"> </v>
      </c>
      <c r="U22" s="808"/>
      <c r="V22" s="104" t="str">
        <f t="shared" si="7"/>
        <v xml:space="preserve"> </v>
      </c>
      <c r="Y22" s="379"/>
      <c r="Z22" s="380"/>
      <c r="AA22" s="381" t="s">
        <v>115</v>
      </c>
      <c r="AB22" s="808"/>
      <c r="AC22" s="104" t="str">
        <f t="shared" si="8"/>
        <v xml:space="preserve"> </v>
      </c>
      <c r="AD22" s="808"/>
      <c r="AE22" s="104" t="str">
        <f t="shared" si="9"/>
        <v xml:space="preserve"> </v>
      </c>
      <c r="AF22" s="808"/>
      <c r="AG22" s="104" t="str">
        <f t="shared" si="10"/>
        <v xml:space="preserve"> </v>
      </c>
    </row>
    <row r="23" spans="3:33">
      <c r="C23" s="379"/>
      <c r="D23" s="380"/>
      <c r="E23" s="381" t="s">
        <v>261</v>
      </c>
      <c r="F23" s="808"/>
      <c r="G23" s="104" t="str">
        <f t="shared" si="0"/>
        <v xml:space="preserve"> </v>
      </c>
      <c r="H23" s="808" t="str">
        <f t="shared" si="1"/>
        <v/>
      </c>
      <c r="I23" s="104" t="str">
        <f t="shared" si="2"/>
        <v/>
      </c>
      <c r="J23" s="808" t="str">
        <f t="shared" si="3"/>
        <v/>
      </c>
      <c r="K23" s="104" t="str">
        <f t="shared" si="4"/>
        <v/>
      </c>
      <c r="L23" s="63"/>
      <c r="M23" s="63"/>
      <c r="N23" s="379"/>
      <c r="O23" s="380"/>
      <c r="P23" s="381" t="s">
        <v>261</v>
      </c>
      <c r="Q23" s="808"/>
      <c r="R23" s="104" t="str">
        <f t="shared" si="5"/>
        <v xml:space="preserve"> </v>
      </c>
      <c r="S23" s="808"/>
      <c r="T23" s="104" t="str">
        <f t="shared" si="6"/>
        <v xml:space="preserve"> </v>
      </c>
      <c r="U23" s="808"/>
      <c r="V23" s="104" t="str">
        <f t="shared" si="7"/>
        <v xml:space="preserve"> </v>
      </c>
      <c r="Y23" s="379"/>
      <c r="Z23" s="380"/>
      <c r="AA23" s="381" t="s">
        <v>261</v>
      </c>
      <c r="AB23" s="808"/>
      <c r="AC23" s="104" t="str">
        <f t="shared" si="8"/>
        <v xml:space="preserve"> </v>
      </c>
      <c r="AD23" s="808"/>
      <c r="AE23" s="104" t="str">
        <f t="shared" si="9"/>
        <v xml:space="preserve"> </v>
      </c>
      <c r="AF23" s="808"/>
      <c r="AG23" s="104" t="str">
        <f t="shared" si="10"/>
        <v xml:space="preserve"> </v>
      </c>
    </row>
    <row r="24" spans="3:33">
      <c r="C24" s="379"/>
      <c r="D24" s="380"/>
      <c r="E24" s="381" t="s">
        <v>430</v>
      </c>
      <c r="F24" s="808"/>
      <c r="G24" s="104" t="str">
        <f t="shared" si="0"/>
        <v xml:space="preserve"> </v>
      </c>
      <c r="H24" s="808" t="str">
        <f t="shared" si="1"/>
        <v/>
      </c>
      <c r="I24" s="104" t="str">
        <f t="shared" si="2"/>
        <v/>
      </c>
      <c r="J24" s="808" t="str">
        <f t="shared" si="3"/>
        <v/>
      </c>
      <c r="K24" s="104" t="str">
        <f t="shared" si="4"/>
        <v/>
      </c>
      <c r="L24" s="63"/>
      <c r="M24" s="63"/>
      <c r="N24" s="379"/>
      <c r="O24" s="380"/>
      <c r="P24" s="381" t="s">
        <v>430</v>
      </c>
      <c r="Q24" s="808"/>
      <c r="R24" s="104" t="str">
        <f t="shared" si="5"/>
        <v xml:space="preserve"> </v>
      </c>
      <c r="S24" s="808"/>
      <c r="T24" s="104" t="str">
        <f t="shared" si="6"/>
        <v xml:space="preserve"> </v>
      </c>
      <c r="U24" s="808"/>
      <c r="V24" s="104" t="str">
        <f t="shared" si="7"/>
        <v xml:space="preserve"> </v>
      </c>
      <c r="Y24" s="379"/>
      <c r="Z24" s="380"/>
      <c r="AA24" s="381" t="s">
        <v>430</v>
      </c>
      <c r="AB24" s="808"/>
      <c r="AC24" s="104" t="str">
        <f t="shared" si="8"/>
        <v xml:space="preserve"> </v>
      </c>
      <c r="AD24" s="808"/>
      <c r="AE24" s="104" t="str">
        <f t="shared" si="9"/>
        <v xml:space="preserve"> </v>
      </c>
      <c r="AF24" s="808"/>
      <c r="AG24" s="104" t="str">
        <f t="shared" si="10"/>
        <v xml:space="preserve"> </v>
      </c>
    </row>
    <row r="25" spans="3:33">
      <c r="C25" s="92"/>
      <c r="D25" s="63"/>
      <c r="E25" s="381" t="s">
        <v>552</v>
      </c>
      <c r="F25" s="808"/>
      <c r="G25" s="104" t="str">
        <f t="shared" si="0"/>
        <v xml:space="preserve"> </v>
      </c>
      <c r="H25" s="808" t="str">
        <f t="shared" si="1"/>
        <v/>
      </c>
      <c r="I25" s="104" t="str">
        <f t="shared" si="2"/>
        <v/>
      </c>
      <c r="J25" s="808" t="str">
        <f t="shared" si="3"/>
        <v/>
      </c>
      <c r="K25" s="104" t="str">
        <f t="shared" si="4"/>
        <v/>
      </c>
      <c r="L25" s="63"/>
      <c r="M25" s="63"/>
      <c r="N25" s="92"/>
      <c r="O25" s="63"/>
      <c r="P25" s="381" t="s">
        <v>552</v>
      </c>
      <c r="Q25" s="808"/>
      <c r="R25" s="104" t="str">
        <f t="shared" si="5"/>
        <v xml:space="preserve"> </v>
      </c>
      <c r="S25" s="808"/>
      <c r="T25" s="104" t="str">
        <f t="shared" si="6"/>
        <v xml:space="preserve"> </v>
      </c>
      <c r="U25" s="808"/>
      <c r="V25" s="104" t="str">
        <f t="shared" si="7"/>
        <v xml:space="preserve"> </v>
      </c>
      <c r="Y25" s="92"/>
      <c r="Z25" s="63"/>
      <c r="AA25" s="381" t="s">
        <v>552</v>
      </c>
      <c r="AB25" s="808"/>
      <c r="AC25" s="104" t="str">
        <f t="shared" si="8"/>
        <v xml:space="preserve"> </v>
      </c>
      <c r="AD25" s="808"/>
      <c r="AE25" s="104" t="str">
        <f t="shared" si="9"/>
        <v xml:space="preserve"> </v>
      </c>
      <c r="AF25" s="808"/>
      <c r="AG25" s="104" t="str">
        <f t="shared" si="10"/>
        <v xml:space="preserve"> </v>
      </c>
    </row>
    <row r="26" spans="3:33">
      <c r="C26" s="92"/>
      <c r="D26" s="63"/>
      <c r="E26" s="381" t="s">
        <v>107</v>
      </c>
      <c r="F26" s="810"/>
      <c r="G26" s="104" t="str">
        <f t="shared" si="0"/>
        <v xml:space="preserve"> </v>
      </c>
      <c r="H26" s="808" t="str">
        <f t="shared" si="1"/>
        <v/>
      </c>
      <c r="I26" s="104" t="str">
        <f t="shared" si="2"/>
        <v/>
      </c>
      <c r="J26" s="808" t="str">
        <f t="shared" si="3"/>
        <v/>
      </c>
      <c r="K26" s="104" t="str">
        <f t="shared" si="4"/>
        <v/>
      </c>
      <c r="L26" s="63"/>
      <c r="M26" s="63"/>
      <c r="N26" s="92"/>
      <c r="O26" s="63"/>
      <c r="P26" s="381" t="s">
        <v>107</v>
      </c>
      <c r="Q26" s="810"/>
      <c r="R26" s="104" t="str">
        <f t="shared" si="5"/>
        <v xml:space="preserve"> </v>
      </c>
      <c r="S26" s="810"/>
      <c r="T26" s="104" t="str">
        <f t="shared" si="6"/>
        <v xml:space="preserve"> </v>
      </c>
      <c r="U26" s="810"/>
      <c r="V26" s="104" t="str">
        <f t="shared" si="7"/>
        <v xml:space="preserve"> </v>
      </c>
      <c r="Y26" s="92"/>
      <c r="Z26" s="63"/>
      <c r="AA26" s="381" t="s">
        <v>107</v>
      </c>
      <c r="AB26" s="810"/>
      <c r="AC26" s="104" t="str">
        <f t="shared" si="8"/>
        <v xml:space="preserve"> </v>
      </c>
      <c r="AD26" s="810"/>
      <c r="AE26" s="104" t="str">
        <f t="shared" si="9"/>
        <v xml:space="preserve"> </v>
      </c>
      <c r="AF26" s="810"/>
      <c r="AG26" s="104" t="str">
        <f t="shared" si="10"/>
        <v xml:space="preserve"> </v>
      </c>
    </row>
    <row r="27" spans="3:33">
      <c r="C27" s="145" t="s">
        <v>244</v>
      </c>
      <c r="D27" s="154"/>
      <c r="E27" s="383"/>
      <c r="F27" s="384">
        <f>SUM(F13:F26)</f>
        <v>0</v>
      </c>
      <c r="G27" s="385">
        <v>100</v>
      </c>
      <c r="H27" s="384">
        <f>SUM(H13:H26)</f>
        <v>0</v>
      </c>
      <c r="I27" s="385">
        <v>100</v>
      </c>
      <c r="J27" s="384">
        <f>SUM(J13:J26)</f>
        <v>0</v>
      </c>
      <c r="K27" s="385">
        <v>100</v>
      </c>
      <c r="L27" s="63"/>
      <c r="M27" s="63"/>
      <c r="N27" s="145" t="s">
        <v>244</v>
      </c>
      <c r="O27" s="154"/>
      <c r="P27" s="383"/>
      <c r="Q27" s="384">
        <f>SUM(Q13:Q26)</f>
        <v>0</v>
      </c>
      <c r="R27" s="385">
        <v>100</v>
      </c>
      <c r="S27" s="384">
        <f>SUM(S13:S26)</f>
        <v>0</v>
      </c>
      <c r="T27" s="385">
        <v>100</v>
      </c>
      <c r="U27" s="384">
        <f>SUM(U13:U26)</f>
        <v>0</v>
      </c>
      <c r="V27" s="385">
        <v>100</v>
      </c>
      <c r="Y27" s="145" t="s">
        <v>244</v>
      </c>
      <c r="Z27" s="154"/>
      <c r="AA27" s="383"/>
      <c r="AB27" s="384">
        <f>SUM(AB13:AB26)</f>
        <v>0</v>
      </c>
      <c r="AC27" s="385">
        <v>100</v>
      </c>
      <c r="AD27" s="384">
        <f>SUM(AD13:AD26)</f>
        <v>0</v>
      </c>
      <c r="AE27" s="385">
        <v>100</v>
      </c>
      <c r="AF27" s="384">
        <f>SUM(AF13:AF26)</f>
        <v>0</v>
      </c>
      <c r="AG27" s="385">
        <v>100</v>
      </c>
    </row>
    <row r="28" spans="3:33">
      <c r="C28" s="92"/>
      <c r="D28" s="63"/>
      <c r="E28" s="386"/>
      <c r="F28" s="387"/>
      <c r="G28" s="104"/>
      <c r="H28" s="387"/>
      <c r="I28" s="104"/>
      <c r="J28" s="387"/>
      <c r="K28" s="104"/>
      <c r="L28" s="63"/>
      <c r="M28" s="63"/>
      <c r="N28" s="92"/>
      <c r="O28" s="63"/>
      <c r="P28" s="386"/>
      <c r="Q28" s="387"/>
      <c r="R28" s="104"/>
      <c r="S28" s="387"/>
      <c r="T28" s="104"/>
      <c r="U28" s="387"/>
      <c r="V28" s="104"/>
      <c r="Y28" s="92"/>
      <c r="Z28" s="63"/>
      <c r="AA28" s="386"/>
      <c r="AB28" s="387"/>
      <c r="AC28" s="104"/>
      <c r="AD28" s="387"/>
      <c r="AE28" s="104"/>
      <c r="AF28" s="387"/>
      <c r="AG28" s="104"/>
    </row>
    <row r="29" spans="3:33">
      <c r="C29" s="1203" t="s">
        <v>246</v>
      </c>
      <c r="D29" s="1204"/>
      <c r="E29" s="1205"/>
      <c r="F29" s="377"/>
      <c r="G29" s="378"/>
      <c r="H29" s="377"/>
      <c r="I29" s="378"/>
      <c r="J29" s="377"/>
      <c r="K29" s="378"/>
      <c r="L29" s="63"/>
      <c r="M29" s="63"/>
      <c r="N29" s="1203" t="s">
        <v>246</v>
      </c>
      <c r="O29" s="1204"/>
      <c r="P29" s="1205"/>
      <c r="Q29" s="377"/>
      <c r="R29" s="378"/>
      <c r="S29" s="377"/>
      <c r="T29" s="378"/>
      <c r="U29" s="377"/>
      <c r="V29" s="378"/>
      <c r="Y29" s="1203" t="s">
        <v>246</v>
      </c>
      <c r="Z29" s="1204"/>
      <c r="AA29" s="1205"/>
      <c r="AB29" s="377"/>
      <c r="AC29" s="378"/>
      <c r="AD29" s="377"/>
      <c r="AE29" s="378"/>
      <c r="AF29" s="377"/>
      <c r="AG29" s="378"/>
    </row>
    <row r="30" spans="3:33">
      <c r="C30" s="379"/>
      <c r="D30" s="380"/>
      <c r="E30" s="381" t="s">
        <v>189</v>
      </c>
      <c r="F30" s="808"/>
      <c r="G30" s="104"/>
      <c r="H30" s="808" t="str">
        <f t="shared" ref="H30:H34" si="11">IF(F30&gt;0,F30,"")</f>
        <v/>
      </c>
      <c r="I30" s="104"/>
      <c r="J30" s="808" t="str">
        <f t="shared" ref="J30:J34" si="12">IF(H30&gt;0,H30,"")</f>
        <v/>
      </c>
      <c r="K30" s="378"/>
      <c r="L30" s="63"/>
      <c r="M30" s="63"/>
      <c r="N30" s="379"/>
      <c r="O30" s="380"/>
      <c r="P30" s="381" t="s">
        <v>189</v>
      </c>
      <c r="Q30" s="808"/>
      <c r="R30" s="104"/>
      <c r="S30" s="808"/>
      <c r="T30" s="104"/>
      <c r="U30" s="808"/>
      <c r="V30" s="378"/>
      <c r="Y30" s="379"/>
      <c r="Z30" s="380"/>
      <c r="AA30" s="381" t="s">
        <v>189</v>
      </c>
      <c r="AB30" s="808"/>
      <c r="AC30" s="104"/>
      <c r="AD30" s="808"/>
      <c r="AE30" s="104"/>
      <c r="AF30" s="808"/>
      <c r="AG30" s="378"/>
    </row>
    <row r="31" spans="3:33">
      <c r="C31" s="379"/>
      <c r="D31" s="380"/>
      <c r="E31" s="381" t="s">
        <v>116</v>
      </c>
      <c r="F31" s="808"/>
      <c r="G31" s="104"/>
      <c r="H31" s="808" t="str">
        <f t="shared" si="11"/>
        <v/>
      </c>
      <c r="I31" s="104"/>
      <c r="J31" s="808" t="str">
        <f t="shared" si="12"/>
        <v/>
      </c>
      <c r="K31" s="378"/>
      <c r="L31" s="63"/>
      <c r="M31" s="63"/>
      <c r="N31" s="379"/>
      <c r="O31" s="380"/>
      <c r="P31" s="381" t="s">
        <v>116</v>
      </c>
      <c r="Q31" s="808"/>
      <c r="R31" s="104"/>
      <c r="S31" s="808"/>
      <c r="T31" s="104"/>
      <c r="U31" s="808"/>
      <c r="V31" s="378"/>
      <c r="Y31" s="379"/>
      <c r="Z31" s="380"/>
      <c r="AA31" s="381" t="s">
        <v>116</v>
      </c>
      <c r="AB31" s="808"/>
      <c r="AC31" s="104"/>
      <c r="AD31" s="808"/>
      <c r="AE31" s="104"/>
      <c r="AF31" s="808"/>
      <c r="AG31" s="378"/>
    </row>
    <row r="32" spans="3:33">
      <c r="C32" s="379"/>
      <c r="D32" s="380"/>
      <c r="E32" s="381" t="s">
        <v>117</v>
      </c>
      <c r="F32" s="808"/>
      <c r="G32" s="104"/>
      <c r="H32" s="808" t="str">
        <f t="shared" si="11"/>
        <v/>
      </c>
      <c r="I32" s="104"/>
      <c r="J32" s="808" t="str">
        <f t="shared" si="12"/>
        <v/>
      </c>
      <c r="K32" s="378"/>
      <c r="L32" s="63"/>
      <c r="M32" s="63"/>
      <c r="N32" s="379"/>
      <c r="O32" s="380"/>
      <c r="P32" s="381" t="s">
        <v>117</v>
      </c>
      <c r="Q32" s="808"/>
      <c r="R32" s="104"/>
      <c r="S32" s="808"/>
      <c r="T32" s="104"/>
      <c r="U32" s="808"/>
      <c r="V32" s="378"/>
      <c r="Y32" s="379"/>
      <c r="Z32" s="380"/>
      <c r="AA32" s="381" t="s">
        <v>117</v>
      </c>
      <c r="AB32" s="808"/>
      <c r="AC32" s="104"/>
      <c r="AD32" s="808"/>
      <c r="AE32" s="104"/>
      <c r="AF32" s="808"/>
      <c r="AG32" s="378"/>
    </row>
    <row r="33" spans="1:33">
      <c r="C33" s="379"/>
      <c r="D33" s="380"/>
      <c r="E33" s="381" t="s">
        <v>118</v>
      </c>
      <c r="F33" s="808"/>
      <c r="G33" s="104"/>
      <c r="H33" s="808" t="str">
        <f t="shared" si="11"/>
        <v/>
      </c>
      <c r="I33" s="104"/>
      <c r="J33" s="808" t="str">
        <f t="shared" si="12"/>
        <v/>
      </c>
      <c r="K33" s="378"/>
      <c r="L33" s="63"/>
      <c r="M33" s="63"/>
      <c r="N33" s="379"/>
      <c r="O33" s="380"/>
      <c r="P33" s="381" t="s">
        <v>118</v>
      </c>
      <c r="Q33" s="808"/>
      <c r="R33" s="104"/>
      <c r="S33" s="808"/>
      <c r="T33" s="104"/>
      <c r="U33" s="808"/>
      <c r="V33" s="378"/>
      <c r="Y33" s="379"/>
      <c r="Z33" s="380"/>
      <c r="AA33" s="381" t="s">
        <v>118</v>
      </c>
      <c r="AB33" s="808"/>
      <c r="AC33" s="104"/>
      <c r="AD33" s="808"/>
      <c r="AE33" s="104"/>
      <c r="AF33" s="808"/>
      <c r="AG33" s="378"/>
    </row>
    <row r="34" spans="1:33">
      <c r="C34" s="379"/>
      <c r="D34" s="380"/>
      <c r="E34" s="381" t="s">
        <v>84</v>
      </c>
      <c r="F34" s="810"/>
      <c r="G34" s="104"/>
      <c r="H34" s="808" t="str">
        <f t="shared" si="11"/>
        <v/>
      </c>
      <c r="I34" s="104"/>
      <c r="J34" s="808" t="str">
        <f t="shared" si="12"/>
        <v/>
      </c>
      <c r="K34" s="378"/>
      <c r="L34" s="63"/>
      <c r="M34" s="63"/>
      <c r="N34" s="379"/>
      <c r="O34" s="380"/>
      <c r="P34" s="381" t="s">
        <v>84</v>
      </c>
      <c r="Q34" s="810"/>
      <c r="R34" s="104"/>
      <c r="S34" s="810"/>
      <c r="T34" s="104"/>
      <c r="U34" s="810"/>
      <c r="V34" s="378"/>
      <c r="Y34" s="379"/>
      <c r="Z34" s="380"/>
      <c r="AA34" s="381" t="s">
        <v>84</v>
      </c>
      <c r="AB34" s="810"/>
      <c r="AC34" s="104"/>
      <c r="AD34" s="810"/>
      <c r="AE34" s="104"/>
      <c r="AF34" s="810"/>
      <c r="AG34" s="378"/>
    </row>
    <row r="35" spans="1:33" ht="15" customHeight="1">
      <c r="A35" s="1133" t="s">
        <v>568</v>
      </c>
      <c r="C35" s="1163" t="s">
        <v>338</v>
      </c>
      <c r="D35" s="1164"/>
      <c r="E35" s="1165"/>
      <c r="F35" s="384">
        <f>SUM(F30:F34)</f>
        <v>0</v>
      </c>
      <c r="G35" s="385" t="str">
        <f>IF(AND(F27&lt;&gt;0,F35&gt;0),F35/F27*G27," ")</f>
        <v xml:space="preserve"> </v>
      </c>
      <c r="H35" s="384">
        <f>SUM(H30:H34)</f>
        <v>0</v>
      </c>
      <c r="I35" s="385" t="str">
        <f>IF(AND(H27&lt;&gt;0,H35&gt;0),H35/H27*I27," ")</f>
        <v xml:space="preserve"> </v>
      </c>
      <c r="J35" s="384">
        <f>SUM(J30:J34)</f>
        <v>0</v>
      </c>
      <c r="K35" s="385" t="str">
        <f>IF(AND(J27&lt;&gt;0,J35&gt;0),J35/J27*K27," ")</f>
        <v xml:space="preserve"> </v>
      </c>
      <c r="L35" s="63"/>
      <c r="M35" s="63"/>
      <c r="N35" s="1163" t="s">
        <v>338</v>
      </c>
      <c r="O35" s="1164"/>
      <c r="P35" s="1165"/>
      <c r="Q35" s="384">
        <f>SUM(Q30:Q34)</f>
        <v>0</v>
      </c>
      <c r="R35" s="385" t="str">
        <f>IF(AND(Q27&lt;&gt;0,Q35&gt;0),Q35/Q27*R27," ")</f>
        <v xml:space="preserve"> </v>
      </c>
      <c r="S35" s="384">
        <f>SUM(S30:S34)</f>
        <v>0</v>
      </c>
      <c r="T35" s="385" t="str">
        <f>IF(AND(S27&lt;&gt;0,S35&gt;0),S35/S27*T27," ")</f>
        <v xml:space="preserve"> </v>
      </c>
      <c r="U35" s="384">
        <f>SUM(U30:U34)</f>
        <v>0</v>
      </c>
      <c r="V35" s="385" t="str">
        <f>IF(AND(U27&lt;&gt;0,U35&gt;0),U35/U27*V27," ")</f>
        <v xml:space="preserve"> </v>
      </c>
      <c r="Y35" s="1163" t="s">
        <v>338</v>
      </c>
      <c r="Z35" s="1164"/>
      <c r="AA35" s="1165"/>
      <c r="AB35" s="384">
        <f>SUM(AB30:AB34)</f>
        <v>0</v>
      </c>
      <c r="AC35" s="385" t="str">
        <f>IF(AND(AB27&lt;&gt;0,AB35&gt;0),AB35/AB27*AC27," ")</f>
        <v xml:space="preserve"> </v>
      </c>
      <c r="AD35" s="384">
        <f>SUM(AD30:AD34)</f>
        <v>0</v>
      </c>
      <c r="AE35" s="385" t="str">
        <f>IF(AND(AD27&lt;&gt;0,AD35&gt;0),AD35/AD27*AE27," ")</f>
        <v xml:space="preserve"> </v>
      </c>
      <c r="AF35" s="384">
        <f>SUM(AF30:AF34)</f>
        <v>0</v>
      </c>
      <c r="AG35" s="385" t="str">
        <f>IF(AND(AF27&lt;&gt;0,AF35&gt;0),AF35/AF27*AG27," ")</f>
        <v xml:space="preserve"> </v>
      </c>
    </row>
    <row r="36" spans="1:33">
      <c r="A36" s="1134"/>
      <c r="C36" s="391" t="s">
        <v>258</v>
      </c>
      <c r="D36" s="392"/>
      <c r="E36" s="393"/>
      <c r="F36" s="394"/>
      <c r="G36" s="395"/>
      <c r="H36" s="394"/>
      <c r="I36" s="395"/>
      <c r="J36" s="394"/>
      <c r="K36" s="395"/>
      <c r="L36" s="63"/>
      <c r="M36" s="63"/>
      <c r="N36" s="391" t="s">
        <v>258</v>
      </c>
      <c r="O36" s="392"/>
      <c r="P36" s="393"/>
      <c r="Q36" s="394"/>
      <c r="R36" s="395"/>
      <c r="S36" s="394"/>
      <c r="T36" s="395"/>
      <c r="U36" s="394"/>
      <c r="V36" s="395"/>
      <c r="Y36" s="391" t="s">
        <v>258</v>
      </c>
      <c r="Z36" s="392"/>
      <c r="AA36" s="393"/>
      <c r="AB36" s="394"/>
      <c r="AC36" s="395"/>
      <c r="AD36" s="394"/>
      <c r="AE36" s="395"/>
      <c r="AF36" s="394"/>
      <c r="AG36" s="395"/>
    </row>
    <row r="37" spans="1:33" ht="12.75" customHeight="1">
      <c r="A37" s="1134"/>
      <c r="C37" s="367" t="str">
        <f>IF(OR(Startseite!A50=Startseite!B46,Startseite!A50=Startseite!B47,Startseite!A50=Startseite!B48),"     - notwendiges Geschäftsführergehalt","     - notwendiger Unternehmerlohn")</f>
        <v xml:space="preserve">     - notwendiger Unternehmerlohn</v>
      </c>
      <c r="D37" s="396"/>
      <c r="E37" s="397"/>
      <c r="F37" s="398">
        <f>F27-F35</f>
        <v>0</v>
      </c>
      <c r="G37" s="399"/>
      <c r="H37" s="398">
        <f>H27-H35</f>
        <v>0</v>
      </c>
      <c r="I37" s="400"/>
      <c r="J37" s="398">
        <f>J27-J35</f>
        <v>0</v>
      </c>
      <c r="K37" s="400"/>
      <c r="L37" s="63"/>
      <c r="M37" s="63"/>
      <c r="N37" s="367" t="str">
        <f>IF(OR(Startseite!A50=Startseite!B46,Startseite!A50=Startseite!B47,Startseite!A50=Startseite!B48),"     - notwendiges Geschäftsführergehalt","     - notwendiger Unternehmerlohn")</f>
        <v xml:space="preserve">     - notwendiger Unternehmerlohn</v>
      </c>
      <c r="O37" s="396"/>
      <c r="P37" s="397"/>
      <c r="Q37" s="398">
        <f>Q27-Q35</f>
        <v>0</v>
      </c>
      <c r="R37" s="399"/>
      <c r="S37" s="398">
        <f>S27-S35</f>
        <v>0</v>
      </c>
      <c r="T37" s="400"/>
      <c r="U37" s="398">
        <f>U27-U35</f>
        <v>0</v>
      </c>
      <c r="V37" s="400"/>
      <c r="Y37" s="367" t="str">
        <f>IF(OR(Startseite!A50=Startseite!B46,Startseite!A50=Startseite!B47,Startseite!A50=Startseite!B48),"     - notwendiges Geschäftsführergehalt","     - notwendiger Unternehmerlohn")</f>
        <v xml:space="preserve">     - notwendiger Unternehmerlohn</v>
      </c>
      <c r="Z37" s="396"/>
      <c r="AA37" s="397"/>
      <c r="AB37" s="398">
        <f>AB27-AB35</f>
        <v>0</v>
      </c>
      <c r="AC37" s="399"/>
      <c r="AD37" s="398">
        <f>AD27-AD35</f>
        <v>0</v>
      </c>
      <c r="AE37" s="400"/>
      <c r="AF37" s="398">
        <f>AF27-AF35</f>
        <v>0</v>
      </c>
      <c r="AG37" s="400"/>
    </row>
    <row r="38" spans="1:33">
      <c r="A38" s="1134"/>
      <c r="C38" s="401" t="str">
        <f>IF(AND(F57&gt;0,F68&gt;0),"Achtung: Gründerzuschuss und ALG II können nicht gleichzeitig beantragt werden","")</f>
        <v/>
      </c>
      <c r="D38" s="196"/>
      <c r="E38" s="402"/>
      <c r="F38" s="796" t="str">
        <f>IF(OR(F43&lt;F37,OR(H43&lt;H37,OR(J43&lt;J37))),"Der geplante Unternehmerlohn darf nicht geringer angesetzt ","")</f>
        <v/>
      </c>
      <c r="G38" s="404"/>
      <c r="H38" s="403"/>
      <c r="I38" s="404"/>
      <c r="J38" s="403"/>
      <c r="K38" s="404"/>
      <c r="L38" s="63"/>
      <c r="M38" s="63"/>
      <c r="N38" s="401" t="str">
        <f>IF(AND(Q57&gt;0,Q68&gt;0),"Achtung: Gründerzuschuss und ALG II können nicht gleichzeitig beantragt werden","")</f>
        <v/>
      </c>
      <c r="O38" s="196"/>
      <c r="P38" s="402"/>
      <c r="Q38" s="796" t="str">
        <f>IF(OR(Q43&lt;Q37,OR(S43&lt;S37,OR(U43&lt;U37))),"Der geplante Unternehmerlohn darf nicht geringer angesetzt ","")</f>
        <v/>
      </c>
      <c r="R38" s="404"/>
      <c r="S38" s="403"/>
      <c r="T38" s="404"/>
      <c r="U38" s="403"/>
      <c r="V38" s="404"/>
      <c r="Y38" s="401" t="str">
        <f>IF(AND(AB57&gt;0,AB68&gt;0),"Achtung: Gründerzuschuss und ALG II können nicht gleichzeitig beantragt werden","")</f>
        <v/>
      </c>
      <c r="Z38" s="196"/>
      <c r="AA38" s="402"/>
      <c r="AB38" s="796" t="str">
        <f>IF(OR(AB43&lt;AB37,OR(AD43&lt;AD37,OR(AF43&lt;AF37))),"Der geplante Unternehmerlohn darf nicht geringer angesetzt ","")</f>
        <v/>
      </c>
      <c r="AC38" s="404"/>
      <c r="AD38" s="403"/>
      <c r="AE38" s="404"/>
      <c r="AF38" s="403"/>
      <c r="AG38" s="404"/>
    </row>
    <row r="39" spans="1:33" ht="12.75" customHeight="1">
      <c r="A39" s="1134"/>
      <c r="C39" s="401"/>
      <c r="D39" s="196"/>
      <c r="E39" s="402"/>
      <c r="F39" s="796" t="str">
        <f>IF(OR(F43&lt;F37,OR(H43&lt;H37,OR(J43&lt;J37))),"werden, als der notwendige Unternehmerlohn","")</f>
        <v/>
      </c>
      <c r="G39" s="404"/>
      <c r="H39" s="403"/>
      <c r="I39" s="404"/>
      <c r="J39" s="403"/>
      <c r="K39" s="404"/>
      <c r="L39" s="63"/>
      <c r="M39" s="63"/>
      <c r="N39" s="401"/>
      <c r="O39" s="196"/>
      <c r="P39" s="402"/>
      <c r="Q39" s="796" t="str">
        <f>IF(OR(Q43&lt;Q37,OR(S43&lt;S37,OR(U43&lt;U37))),"werden, als der notwendige Unternehmerlohn","")</f>
        <v/>
      </c>
      <c r="R39" s="404"/>
      <c r="S39" s="403"/>
      <c r="T39" s="404"/>
      <c r="U39" s="403"/>
      <c r="V39" s="404"/>
      <c r="Y39" s="401"/>
      <c r="Z39" s="196"/>
      <c r="AA39" s="402"/>
      <c r="AB39" s="796" t="str">
        <f>IF(OR(AB43&lt;AB37,OR(AD43&lt;AD37,OR(AF43&lt;AF37))),"werden, als der notwendige Unternehmerlohn","")</f>
        <v/>
      </c>
      <c r="AC39" s="404"/>
      <c r="AD39" s="403"/>
      <c r="AE39" s="404"/>
      <c r="AF39" s="403"/>
      <c r="AG39" s="404"/>
    </row>
    <row r="40" spans="1:33">
      <c r="A40" s="1134"/>
      <c r="C40" s="372"/>
      <c r="D40" s="364"/>
      <c r="E40" s="365"/>
      <c r="F40" s="373" t="s">
        <v>22</v>
      </c>
      <c r="G40" s="374"/>
      <c r="H40" s="375" t="s">
        <v>23</v>
      </c>
      <c r="I40" s="374"/>
      <c r="J40" s="375" t="s">
        <v>24</v>
      </c>
      <c r="K40" s="374"/>
      <c r="L40" s="63"/>
      <c r="M40" s="63"/>
      <c r="N40" s="372"/>
      <c r="O40" s="364"/>
      <c r="P40" s="365"/>
      <c r="Q40" s="373" t="s">
        <v>22</v>
      </c>
      <c r="R40" s="374"/>
      <c r="S40" s="375" t="s">
        <v>23</v>
      </c>
      <c r="T40" s="374"/>
      <c r="U40" s="375" t="s">
        <v>24</v>
      </c>
      <c r="V40" s="374"/>
      <c r="Y40" s="372"/>
      <c r="Z40" s="364"/>
      <c r="AA40" s="365"/>
      <c r="AB40" s="373" t="s">
        <v>22</v>
      </c>
      <c r="AC40" s="374"/>
      <c r="AD40" s="375" t="s">
        <v>23</v>
      </c>
      <c r="AE40" s="374"/>
      <c r="AF40" s="375" t="s">
        <v>24</v>
      </c>
      <c r="AG40" s="374"/>
    </row>
    <row r="41" spans="1:33">
      <c r="A41" s="1134"/>
      <c r="C41" s="92"/>
      <c r="D41" s="63"/>
      <c r="E41" s="70"/>
      <c r="F41" s="1152" t="str">
        <f>CONCATENATE("(",TEXT('Personalkosten 1. Jahr'!$M$4,"MMM. JJJJ")," - ",TEXT('Personalkosten 1. Jahr'!$O$4,"MMM. JJJJ"),")")</f>
        <v>(Nov. 2024 - Okt. 2025)</v>
      </c>
      <c r="G41" s="1153"/>
      <c r="H41" s="1152" t="str">
        <f>CONCATENATE("(",TEXT('Personalkosten 2. Jahr'!$K$4,"MMM. JJJJ")," - ",TEXT('Personalkosten 2. Jahr'!$M$4,"MMM. JJJJ"),")")</f>
        <v>(Nov. 2025 - Okt. 2026)</v>
      </c>
      <c r="I41" s="1153"/>
      <c r="J41" s="1152" t="str">
        <f>CONCATENATE("(",TEXT('Personalkosten 3. Jahr'!$K$4,"MMM. JJJJ")," - ",TEXT('Personalkosten 3. Jahr'!$M$4,"MMM. JJJJ"),")")</f>
        <v>(Nov. 2026 - Okt. 2027)</v>
      </c>
      <c r="K41" s="1153"/>
      <c r="L41" s="63"/>
      <c r="M41" s="63"/>
      <c r="N41" s="92"/>
      <c r="O41" s="63"/>
      <c r="P41" s="70"/>
      <c r="Q41" s="1152" t="str">
        <f>CONCATENATE("(",TEXT('Personalkosten 1. Jahr'!$M$4,"MMM. JJJJ")," - ",TEXT('Personalkosten 1. Jahr'!$O$4,"MMM. JJJJ"),")")</f>
        <v>(Nov. 2024 - Okt. 2025)</v>
      </c>
      <c r="R41" s="1153"/>
      <c r="S41" s="1152" t="str">
        <f>CONCATENATE("(",TEXT('Personalkosten 2. Jahr'!$K$4,"MMM. JJJJ")," - ",TEXT('Personalkosten 2. Jahr'!$M$4,"MMM. JJJJ"),")")</f>
        <v>(Nov. 2025 - Okt. 2026)</v>
      </c>
      <c r="T41" s="1153"/>
      <c r="U41" s="1152" t="str">
        <f>CONCATENATE("(",TEXT('Personalkosten 3. Jahr'!$K$4,"MMM. JJJJ")," - ",TEXT('Personalkosten 3. Jahr'!$M$4,"MMM. JJJJ"),")")</f>
        <v>(Nov. 2026 - Okt. 2027)</v>
      </c>
      <c r="V41" s="1153"/>
      <c r="Y41" s="92"/>
      <c r="Z41" s="63"/>
      <c r="AA41" s="70"/>
      <c r="AB41" s="1152" t="str">
        <f>CONCATENATE("(",TEXT('Personalkosten 1. Jahr'!$M$4,"MMM. JJJJ")," - ",TEXT('Personalkosten 1. Jahr'!$O$4,"MMM. JJJJ"),")")</f>
        <v>(Nov. 2024 - Okt. 2025)</v>
      </c>
      <c r="AC41" s="1153"/>
      <c r="AD41" s="1152" t="str">
        <f>CONCATENATE("(",TEXT('Personalkosten 2. Jahr'!$K$4,"MMM. JJJJ")," - ",TEXT('Personalkosten 2. Jahr'!$M$4,"MMM. JJJJ"),")")</f>
        <v>(Nov. 2025 - Okt. 2026)</v>
      </c>
      <c r="AE41" s="1153"/>
      <c r="AF41" s="1152" t="str">
        <f>CONCATENATE("(",TEXT('Personalkosten 3. Jahr'!$K$4,"MMM. JJJJ")," - ",TEXT('Personalkosten 3. Jahr'!$M$4,"MMM. JJJJ"),")")</f>
        <v>(Nov. 2026 - Okt. 2027)</v>
      </c>
      <c r="AG41" s="1153"/>
    </row>
    <row r="42" spans="1:33" ht="12.75" customHeight="1">
      <c r="A42" s="1134"/>
      <c r="C42" s="1183" t="str">
        <f>IF(OR(Startseite!A50=Startseite!B46,Startseite!A50=Startseite!B47,Startseite!A50=Startseite!B48),"Geplantes Geschäftsführergehalt","Geplanter Unternehmerlohn")</f>
        <v>Geplanter Unternehmerlohn</v>
      </c>
      <c r="D42" s="1184"/>
      <c r="E42" s="1185"/>
      <c r="F42" s="1181" t="s">
        <v>29</v>
      </c>
      <c r="G42" s="1182"/>
      <c r="H42" s="1181" t="s">
        <v>29</v>
      </c>
      <c r="I42" s="1182"/>
      <c r="J42" s="1181" t="s">
        <v>29</v>
      </c>
      <c r="K42" s="1182"/>
      <c r="L42" s="63"/>
      <c r="M42" s="63"/>
      <c r="N42" s="1183" t="str">
        <f>IF(OR(Startseite!A50=Startseite!B46,Startseite!A50=Startseite!B47,Startseite!A50=Startseite!B48),"Geplantes Geschäftsführergehalt","Geplanter Unternehmerlohn")</f>
        <v>Geplanter Unternehmerlohn</v>
      </c>
      <c r="O42" s="1184"/>
      <c r="P42" s="1185"/>
      <c r="Q42" s="1181" t="s">
        <v>29</v>
      </c>
      <c r="R42" s="1182"/>
      <c r="S42" s="1181" t="s">
        <v>29</v>
      </c>
      <c r="T42" s="1182"/>
      <c r="U42" s="1181" t="s">
        <v>29</v>
      </c>
      <c r="V42" s="1182"/>
      <c r="Y42" s="1183" t="str">
        <f>IF(OR(Startseite!A50=Startseite!B46,Startseite!A50=Startseite!B47,Startseite!A50=Startseite!B48),"Geplantes Geschäftsführergehalt","Geplanter Unternehmerlohn")</f>
        <v>Geplanter Unternehmerlohn</v>
      </c>
      <c r="Z42" s="1184"/>
      <c r="AA42" s="1185"/>
      <c r="AB42" s="1181" t="s">
        <v>29</v>
      </c>
      <c r="AC42" s="1182"/>
      <c r="AD42" s="1181" t="s">
        <v>29</v>
      </c>
      <c r="AE42" s="1182"/>
      <c r="AF42" s="1181" t="s">
        <v>29</v>
      </c>
      <c r="AG42" s="1182"/>
    </row>
    <row r="43" spans="1:33" ht="12.75" customHeight="1">
      <c r="A43" s="1135"/>
      <c r="C43" s="1186"/>
      <c r="D43" s="1187"/>
      <c r="E43" s="1188"/>
      <c r="F43" s="1189">
        <f>F37</f>
        <v>0</v>
      </c>
      <c r="G43" s="1190"/>
      <c r="H43" s="1189">
        <f>H37</f>
        <v>0</v>
      </c>
      <c r="I43" s="1190"/>
      <c r="J43" s="1189">
        <f>J37</f>
        <v>0</v>
      </c>
      <c r="K43" s="1190"/>
      <c r="L43" s="63"/>
      <c r="M43" s="63"/>
      <c r="N43" s="1186"/>
      <c r="O43" s="1187"/>
      <c r="P43" s="1188"/>
      <c r="Q43" s="1189">
        <f>Q37</f>
        <v>0</v>
      </c>
      <c r="R43" s="1190"/>
      <c r="S43" s="1189">
        <f>S37</f>
        <v>0</v>
      </c>
      <c r="T43" s="1190"/>
      <c r="U43" s="1189">
        <f>U37</f>
        <v>0</v>
      </c>
      <c r="V43" s="1190"/>
      <c r="Y43" s="1186"/>
      <c r="Z43" s="1187"/>
      <c r="AA43" s="1188"/>
      <c r="AB43" s="1189">
        <f>AB37</f>
        <v>0</v>
      </c>
      <c r="AC43" s="1190"/>
      <c r="AD43" s="1189">
        <f>AD37</f>
        <v>0</v>
      </c>
      <c r="AE43" s="1190"/>
      <c r="AF43" s="1189">
        <f>AF37</f>
        <v>0</v>
      </c>
      <c r="AG43" s="1190"/>
    </row>
    <row r="44" spans="1:33" ht="15" hidden="1" customHeight="1" outlineLevel="1">
      <c r="C44" s="1192" t="s">
        <v>348</v>
      </c>
      <c r="D44" s="1193"/>
      <c r="E44" s="1194"/>
      <c r="F44" s="1179">
        <f>F57+F68</f>
        <v>0</v>
      </c>
      <c r="G44" s="1180"/>
      <c r="H44" s="1179">
        <f>H57+H68</f>
        <v>0</v>
      </c>
      <c r="I44" s="1180"/>
      <c r="J44" s="1195"/>
      <c r="K44" s="1196"/>
      <c r="L44" s="63"/>
      <c r="M44" s="63"/>
      <c r="N44" s="1192" t="s">
        <v>348</v>
      </c>
      <c r="O44" s="1193"/>
      <c r="P44" s="1194"/>
      <c r="Q44" s="1179">
        <f>Q57+Q68</f>
        <v>0</v>
      </c>
      <c r="R44" s="1180"/>
      <c r="S44" s="1179">
        <f>S57+S68</f>
        <v>0</v>
      </c>
      <c r="T44" s="1180"/>
      <c r="U44" s="1195"/>
      <c r="V44" s="1196"/>
      <c r="Y44" s="1192" t="s">
        <v>348</v>
      </c>
      <c r="Z44" s="1193"/>
      <c r="AA44" s="1194"/>
      <c r="AB44" s="1179">
        <f>AB57+AB68</f>
        <v>0</v>
      </c>
      <c r="AC44" s="1180"/>
      <c r="AD44" s="1179">
        <f>AD57+AD68</f>
        <v>0</v>
      </c>
      <c r="AE44" s="1180"/>
      <c r="AF44" s="1195"/>
      <c r="AG44" s="1196"/>
    </row>
    <row r="45" spans="1:33" hidden="1" outlineLevel="1">
      <c r="C45" s="1197" t="str">
        <f>IF(OR(Startseite!A50=Startseite!B46,Startseite!A50=Startseite!B47,Startseite!A50=Startseite!B48)," = Geplantes Geschäftsführergehalt mit GZ oder ALG II / ESG"," = Geplanter Unternehmerlohn mit GZ oder ALG II / ESG")</f>
        <v xml:space="preserve"> = Geplanter Unternehmerlohn mit GZ oder ALG II / ESG</v>
      </c>
      <c r="D45" s="1198"/>
      <c r="E45" s="1199"/>
      <c r="F45" s="1175">
        <f>F43-F44</f>
        <v>0</v>
      </c>
      <c r="G45" s="1176"/>
      <c r="H45" s="1175">
        <f>H43-H44</f>
        <v>0</v>
      </c>
      <c r="I45" s="1176"/>
      <c r="J45" s="1175">
        <f>J43-J44</f>
        <v>0</v>
      </c>
      <c r="K45" s="1176"/>
      <c r="L45" s="63"/>
      <c r="M45" s="63"/>
      <c r="N45" s="1197" t="str">
        <f>IF(OR(Startseite!A50=Startseite!B46,Startseite!A50=Startseite!B47,Startseite!A50=Startseite!B48)," = Geplantes Geschäftsführergehalt mit GZ oder ALG II / ESG"," = Geplanter Unternehmerlohn mit GZ oder ALG II / ESG")</f>
        <v xml:space="preserve"> = Geplanter Unternehmerlohn mit GZ oder ALG II / ESG</v>
      </c>
      <c r="O45" s="1198"/>
      <c r="P45" s="1199"/>
      <c r="Q45" s="1175">
        <f>Q43-Q44</f>
        <v>0</v>
      </c>
      <c r="R45" s="1176"/>
      <c r="S45" s="1175">
        <f>S43-S44</f>
        <v>0</v>
      </c>
      <c r="T45" s="1176"/>
      <c r="U45" s="1175">
        <f>U43-U44</f>
        <v>0</v>
      </c>
      <c r="V45" s="1176"/>
      <c r="Y45" s="1197" t="str">
        <f>IF(OR(Startseite!A50=Startseite!B46,Startseite!A50=Startseite!B47,Startseite!A50=Startseite!B48)," = Geplantes Geschäftsführergehalt mit GZ oder ALG II / ESG"," = Geplanter Unternehmerlohn mit GZ oder ALG II / ESG")</f>
        <v xml:space="preserve"> = Geplanter Unternehmerlohn mit GZ oder ALG II / ESG</v>
      </c>
      <c r="Z45" s="1198"/>
      <c r="AA45" s="1199"/>
      <c r="AB45" s="1175">
        <f>AB43-AB44</f>
        <v>0</v>
      </c>
      <c r="AC45" s="1176"/>
      <c r="AD45" s="1175">
        <f>AD43-AD44</f>
        <v>0</v>
      </c>
      <c r="AE45" s="1176"/>
      <c r="AF45" s="1175">
        <f>AF43-AF44</f>
        <v>0</v>
      </c>
      <c r="AG45" s="1176"/>
    </row>
    <row r="46" spans="1:33" hidden="1" outlineLevel="1">
      <c r="C46" s="1200" t="str">
        <f>IF(OR(Startseite!A50=Startseite!B46,Startseite!A50=Startseite!B47,Startseite!A50=Startseite!B48),"     - berücksichtigtes Geschäftsführergehalt", "     - berücksichtigter Unternehmerlohn")</f>
        <v xml:space="preserve">     - berücksichtigter Unternehmerlohn</v>
      </c>
      <c r="D46" s="1201"/>
      <c r="E46" s="1202"/>
      <c r="F46" s="1177"/>
      <c r="G46" s="1178"/>
      <c r="H46" s="1177"/>
      <c r="I46" s="1178"/>
      <c r="J46" s="1177"/>
      <c r="K46" s="1178"/>
      <c r="L46" s="63"/>
      <c r="M46" s="63"/>
      <c r="N46" s="1200" t="str">
        <f>IF(OR(Startseite!A50=Startseite!B46,Startseite!A50=Startseite!B47,Startseite!A50=Startseite!B48),"     - berücksichtigtes Geschäftsführergehalt", "     - berücksichtigter Unternehmerlohn")</f>
        <v xml:space="preserve">     - berücksichtigter Unternehmerlohn</v>
      </c>
      <c r="O46" s="1201"/>
      <c r="P46" s="1202"/>
      <c r="Q46" s="1177"/>
      <c r="R46" s="1178"/>
      <c r="S46" s="1177"/>
      <c r="T46" s="1178"/>
      <c r="U46" s="1177"/>
      <c r="V46" s="1178"/>
      <c r="Y46" s="1200" t="str">
        <f>IF(OR(Startseite!A50=Startseite!B46,Startseite!A50=Startseite!B47,Startseite!A50=Startseite!B48),"     - berücksichtigtes Geschäftsführergehalt", "     - berücksichtigter Unternehmerlohn")</f>
        <v xml:space="preserve">     - berücksichtigter Unternehmerlohn</v>
      </c>
      <c r="Z46" s="1201"/>
      <c r="AA46" s="1202"/>
      <c r="AB46" s="1177"/>
      <c r="AC46" s="1178"/>
      <c r="AD46" s="1177"/>
      <c r="AE46" s="1178"/>
      <c r="AF46" s="1177"/>
      <c r="AG46" s="1178"/>
    </row>
    <row r="47" spans="1:33" hidden="1" outlineLevel="1">
      <c r="C47" s="401"/>
      <c r="D47" s="196"/>
      <c r="E47" s="402"/>
      <c r="F47" s="403"/>
      <c r="G47" s="404"/>
      <c r="H47" s="403"/>
      <c r="I47" s="404"/>
      <c r="J47" s="403"/>
      <c r="K47" s="404"/>
      <c r="L47" s="63"/>
      <c r="M47" s="63"/>
      <c r="N47" s="401"/>
      <c r="O47" s="196"/>
      <c r="P47" s="402"/>
      <c r="Q47" s="403"/>
      <c r="R47" s="404"/>
      <c r="S47" s="403"/>
      <c r="T47" s="404"/>
      <c r="U47" s="403"/>
      <c r="V47" s="404"/>
      <c r="Y47" s="401"/>
      <c r="Z47" s="196"/>
      <c r="AA47" s="402"/>
      <c r="AB47" s="403"/>
      <c r="AC47" s="404"/>
      <c r="AD47" s="403"/>
      <c r="AE47" s="404"/>
      <c r="AF47" s="403"/>
      <c r="AG47" s="404"/>
    </row>
    <row r="48" spans="1:33" hidden="1" outlineLevel="1">
      <c r="C48" s="401"/>
      <c r="D48" s="196"/>
      <c r="E48" s="402"/>
      <c r="F48" s="403"/>
      <c r="G48" s="404"/>
      <c r="H48" s="403"/>
      <c r="I48" s="404"/>
      <c r="J48" s="403"/>
      <c r="K48" s="404"/>
      <c r="L48" s="63"/>
      <c r="M48" s="63"/>
      <c r="N48" s="401"/>
      <c r="O48" s="196"/>
      <c r="P48" s="402"/>
      <c r="Q48" s="403"/>
      <c r="R48" s="404"/>
      <c r="S48" s="403"/>
      <c r="T48" s="404"/>
      <c r="U48" s="403"/>
      <c r="V48" s="404"/>
      <c r="Y48" s="401"/>
      <c r="Z48" s="196"/>
      <c r="AA48" s="402"/>
      <c r="AB48" s="403"/>
      <c r="AC48" s="404"/>
      <c r="AD48" s="403"/>
      <c r="AE48" s="404"/>
      <c r="AF48" s="403"/>
      <c r="AG48" s="404"/>
    </row>
    <row r="49" spans="1:33" hidden="1" outlineLevel="1">
      <c r="C49" s="196" t="s">
        <v>342</v>
      </c>
      <c r="D49" s="63"/>
      <c r="E49" s="63"/>
      <c r="F49" s="63"/>
      <c r="G49" s="63"/>
      <c r="H49" s="63"/>
      <c r="I49" s="63"/>
      <c r="J49" s="63"/>
      <c r="K49" s="63"/>
      <c r="L49" s="63"/>
      <c r="M49" s="63"/>
      <c r="N49" s="196" t="s">
        <v>342</v>
      </c>
      <c r="O49" s="63"/>
      <c r="P49" s="63"/>
      <c r="Q49" s="63"/>
      <c r="R49" s="63"/>
      <c r="S49" s="63"/>
      <c r="T49" s="63"/>
      <c r="U49" s="63"/>
      <c r="V49" s="63"/>
      <c r="Y49" s="196" t="s">
        <v>342</v>
      </c>
      <c r="Z49" s="63"/>
      <c r="AA49" s="63"/>
      <c r="AB49" s="63"/>
      <c r="AC49" s="63"/>
      <c r="AD49" s="63"/>
      <c r="AE49" s="63"/>
      <c r="AF49" s="63"/>
      <c r="AG49" s="63"/>
    </row>
    <row r="50" spans="1:33" hidden="1" outlineLevel="1">
      <c r="C50" s="405" t="s">
        <v>331</v>
      </c>
      <c r="D50" s="406"/>
      <c r="E50" s="365"/>
      <c r="F50" s="375" t="s">
        <v>22</v>
      </c>
      <c r="G50" s="374"/>
      <c r="H50" s="375" t="s">
        <v>23</v>
      </c>
      <c r="I50" s="374"/>
      <c r="J50" s="63"/>
      <c r="K50" s="63"/>
      <c r="L50" s="63"/>
      <c r="M50" s="63"/>
      <c r="N50" s="405" t="s">
        <v>331</v>
      </c>
      <c r="O50" s="406"/>
      <c r="P50" s="365"/>
      <c r="Q50" s="375" t="s">
        <v>22</v>
      </c>
      <c r="R50" s="374"/>
      <c r="S50" s="375" t="s">
        <v>23</v>
      </c>
      <c r="T50" s="374"/>
      <c r="U50" s="63"/>
      <c r="V50" s="63"/>
      <c r="Y50" s="405" t="s">
        <v>331</v>
      </c>
      <c r="Z50" s="406"/>
      <c r="AA50" s="365"/>
      <c r="AB50" s="375" t="s">
        <v>22</v>
      </c>
      <c r="AC50" s="374"/>
      <c r="AD50" s="375" t="s">
        <v>23</v>
      </c>
      <c r="AE50" s="374"/>
      <c r="AF50" s="63"/>
      <c r="AG50" s="63"/>
    </row>
    <row r="51" spans="1:33" hidden="1" outlineLevel="1">
      <c r="C51" s="354"/>
      <c r="D51" s="69"/>
      <c r="E51" s="221"/>
      <c r="F51" s="129" t="s">
        <v>29</v>
      </c>
      <c r="G51" s="376"/>
      <c r="H51" s="129" t="s">
        <v>29</v>
      </c>
      <c r="I51" s="376"/>
      <c r="J51" s="63"/>
      <c r="K51" s="63"/>
      <c r="L51" s="63"/>
      <c r="M51" s="63"/>
      <c r="N51" s="354"/>
      <c r="O51" s="69"/>
      <c r="P51" s="221"/>
      <c r="Q51" s="129" t="s">
        <v>29</v>
      </c>
      <c r="R51" s="376"/>
      <c r="S51" s="129" t="s">
        <v>29</v>
      </c>
      <c r="T51" s="376"/>
      <c r="U51" s="63"/>
      <c r="V51" s="63"/>
      <c r="Y51" s="354"/>
      <c r="Z51" s="69"/>
      <c r="AA51" s="221"/>
      <c r="AB51" s="129" t="s">
        <v>29</v>
      </c>
      <c r="AC51" s="376"/>
      <c r="AD51" s="129" t="s">
        <v>29</v>
      </c>
      <c r="AE51" s="376"/>
      <c r="AF51" s="63"/>
      <c r="AG51" s="63"/>
    </row>
    <row r="52" spans="1:33" ht="12" hidden="1" customHeight="1" outlineLevel="1">
      <c r="C52" s="372" t="s">
        <v>332</v>
      </c>
      <c r="D52" s="407" t="s">
        <v>330</v>
      </c>
      <c r="E52" s="408">
        <v>6</v>
      </c>
      <c r="F52" s="409"/>
      <c r="G52" s="410"/>
      <c r="H52" s="410"/>
      <c r="I52" s="410"/>
      <c r="J52" s="63"/>
      <c r="K52" s="63"/>
      <c r="L52" s="63"/>
      <c r="M52" s="63"/>
      <c r="N52" s="372" t="s">
        <v>332</v>
      </c>
      <c r="O52" s="407" t="s">
        <v>330</v>
      </c>
      <c r="P52" s="408">
        <v>6</v>
      </c>
      <c r="Q52" s="409"/>
      <c r="R52" s="410"/>
      <c r="S52" s="410"/>
      <c r="T52" s="410"/>
      <c r="U52" s="63"/>
      <c r="V52" s="63"/>
      <c r="Y52" s="372" t="s">
        <v>332</v>
      </c>
      <c r="Z52" s="407" t="s">
        <v>330</v>
      </c>
      <c r="AA52" s="408">
        <v>6</v>
      </c>
      <c r="AB52" s="409"/>
      <c r="AC52" s="410"/>
      <c r="AD52" s="410"/>
      <c r="AE52" s="410"/>
      <c r="AF52" s="63"/>
      <c r="AG52" s="63"/>
    </row>
    <row r="53" spans="1:33" ht="12" hidden="1" customHeight="1" outlineLevel="1">
      <c r="C53" s="92"/>
      <c r="D53" s="370" t="s">
        <v>334</v>
      </c>
      <c r="E53" s="812"/>
      <c r="F53" s="409">
        <f>E53*E52</f>
        <v>0</v>
      </c>
      <c r="G53" s="410"/>
      <c r="H53" s="410"/>
      <c r="I53" s="410"/>
      <c r="J53" s="63"/>
      <c r="K53" s="63"/>
      <c r="L53" s="63"/>
      <c r="M53" s="63"/>
      <c r="N53" s="92"/>
      <c r="O53" s="370" t="s">
        <v>334</v>
      </c>
      <c r="P53" s="812"/>
      <c r="Q53" s="409">
        <f>P53*P52</f>
        <v>0</v>
      </c>
      <c r="R53" s="410"/>
      <c r="S53" s="410"/>
      <c r="T53" s="410"/>
      <c r="U53" s="63"/>
      <c r="V53" s="63"/>
      <c r="Y53" s="92"/>
      <c r="Z53" s="370" t="s">
        <v>334</v>
      </c>
      <c r="AA53" s="812"/>
      <c r="AB53" s="409">
        <f>AA53*AA52</f>
        <v>0</v>
      </c>
      <c r="AC53" s="410"/>
      <c r="AD53" s="410"/>
      <c r="AE53" s="410"/>
      <c r="AF53" s="63"/>
      <c r="AG53" s="63"/>
    </row>
    <row r="54" spans="1:33" hidden="1" outlineLevel="1">
      <c r="C54" s="92"/>
      <c r="D54" s="370" t="s">
        <v>335</v>
      </c>
      <c r="E54" s="411">
        <v>300</v>
      </c>
      <c r="F54" s="409">
        <f>IF(E53=0,0,E54*E52)</f>
        <v>0</v>
      </c>
      <c r="G54" s="410"/>
      <c r="H54" s="410"/>
      <c r="I54" s="410"/>
      <c r="J54" s="63"/>
      <c r="K54" s="63"/>
      <c r="L54" s="63"/>
      <c r="M54" s="63"/>
      <c r="N54" s="92"/>
      <c r="O54" s="370" t="s">
        <v>335</v>
      </c>
      <c r="P54" s="411">
        <v>300</v>
      </c>
      <c r="Q54" s="409">
        <f>IF(P53=0,0,P54*P52)</f>
        <v>0</v>
      </c>
      <c r="R54" s="410"/>
      <c r="S54" s="410"/>
      <c r="T54" s="410"/>
      <c r="U54" s="63"/>
      <c r="V54" s="63"/>
      <c r="Y54" s="92"/>
      <c r="Z54" s="370" t="s">
        <v>335</v>
      </c>
      <c r="AA54" s="411">
        <v>300</v>
      </c>
      <c r="AB54" s="409">
        <f>IF(AA53=0,0,AA54*AA52)</f>
        <v>0</v>
      </c>
      <c r="AC54" s="410"/>
      <c r="AD54" s="410"/>
      <c r="AE54" s="410"/>
      <c r="AF54" s="63"/>
      <c r="AG54" s="63"/>
    </row>
    <row r="55" spans="1:33" hidden="1" outlineLevel="1">
      <c r="C55" s="372" t="s">
        <v>333</v>
      </c>
      <c r="D55" s="407" t="s">
        <v>330</v>
      </c>
      <c r="E55" s="408">
        <v>9</v>
      </c>
      <c r="F55" s="409"/>
      <c r="G55" s="410"/>
      <c r="H55" s="410"/>
      <c r="I55" s="410"/>
      <c r="J55" s="63"/>
      <c r="K55" s="63"/>
      <c r="L55" s="63"/>
      <c r="M55" s="63"/>
      <c r="N55" s="372" t="s">
        <v>333</v>
      </c>
      <c r="O55" s="407" t="s">
        <v>330</v>
      </c>
      <c r="P55" s="408">
        <v>9</v>
      </c>
      <c r="Q55" s="409"/>
      <c r="R55" s="410"/>
      <c r="S55" s="410"/>
      <c r="T55" s="410"/>
      <c r="U55" s="63"/>
      <c r="V55" s="63"/>
      <c r="Y55" s="372" t="s">
        <v>333</v>
      </c>
      <c r="Z55" s="407" t="s">
        <v>330</v>
      </c>
      <c r="AA55" s="408">
        <v>9</v>
      </c>
      <c r="AB55" s="409"/>
      <c r="AC55" s="410"/>
      <c r="AD55" s="410"/>
      <c r="AE55" s="410"/>
      <c r="AF55" s="63"/>
      <c r="AG55" s="63"/>
    </row>
    <row r="56" spans="1:33" hidden="1" outlineLevel="1">
      <c r="C56" s="354"/>
      <c r="D56" s="412" t="s">
        <v>353</v>
      </c>
      <c r="E56" s="812"/>
      <c r="F56" s="409">
        <f>IF(E53=0,0,(E55-3)*E56)</f>
        <v>0</v>
      </c>
      <c r="G56" s="410"/>
      <c r="H56" s="410">
        <f>IF(E53=0,0,3*E56)</f>
        <v>0</v>
      </c>
      <c r="I56" s="410"/>
      <c r="J56" s="63"/>
      <c r="K56" s="63"/>
      <c r="L56" s="63"/>
      <c r="M56" s="63"/>
      <c r="N56" s="354"/>
      <c r="O56" s="412" t="s">
        <v>353</v>
      </c>
      <c r="P56" s="812"/>
      <c r="Q56" s="409">
        <f>IF(P53=0,0,(P55-3)*P56)</f>
        <v>0</v>
      </c>
      <c r="R56" s="410"/>
      <c r="S56" s="410">
        <f>IF(P53=0,0,3*P56)</f>
        <v>0</v>
      </c>
      <c r="T56" s="410"/>
      <c r="U56" s="63"/>
      <c r="V56" s="63"/>
      <c r="Y56" s="354"/>
      <c r="Z56" s="412" t="s">
        <v>353</v>
      </c>
      <c r="AA56" s="812"/>
      <c r="AB56" s="409">
        <f>IF(AA53=0,0,(AA55-3)*AA56)</f>
        <v>0</v>
      </c>
      <c r="AC56" s="410"/>
      <c r="AD56" s="410">
        <f>IF(AA53=0,0,3*AA56)</f>
        <v>0</v>
      </c>
      <c r="AE56" s="410"/>
      <c r="AF56" s="63"/>
      <c r="AG56" s="63"/>
    </row>
    <row r="57" spans="1:33" hidden="1" outlineLevel="1">
      <c r="C57" s="354"/>
      <c r="D57" s="396"/>
      <c r="E57" s="413" t="s">
        <v>336</v>
      </c>
      <c r="F57" s="384">
        <f>F53+F54+F56</f>
        <v>0</v>
      </c>
      <c r="G57" s="384"/>
      <c r="H57" s="384">
        <f>H54+H56</f>
        <v>0</v>
      </c>
      <c r="I57" s="384"/>
      <c r="J57" s="63"/>
      <c r="K57" s="63"/>
      <c r="L57" s="63"/>
      <c r="M57" s="63"/>
      <c r="N57" s="354"/>
      <c r="O57" s="396"/>
      <c r="P57" s="413" t="s">
        <v>336</v>
      </c>
      <c r="Q57" s="384">
        <f>Q53+Q54+Q56</f>
        <v>0</v>
      </c>
      <c r="R57" s="384"/>
      <c r="S57" s="384">
        <f>S54+S56</f>
        <v>0</v>
      </c>
      <c r="T57" s="384"/>
      <c r="U57" s="63"/>
      <c r="V57" s="63"/>
      <c r="Y57" s="354"/>
      <c r="Z57" s="396"/>
      <c r="AA57" s="413" t="s">
        <v>336</v>
      </c>
      <c r="AB57" s="384">
        <f>AB53+AB54+AB56</f>
        <v>0</v>
      </c>
      <c r="AC57" s="384"/>
      <c r="AD57" s="384">
        <f>AD54+AD56</f>
        <v>0</v>
      </c>
      <c r="AE57" s="384"/>
      <c r="AF57" s="63"/>
      <c r="AG57" s="63"/>
    </row>
    <row r="58" spans="1:33" ht="12.75" hidden="1" customHeight="1" outlineLevel="1">
      <c r="A58" s="1206" t="s">
        <v>569</v>
      </c>
      <c r="C58" s="414"/>
      <c r="D58" s="63"/>
      <c r="E58" s="381"/>
      <c r="F58" s="415"/>
      <c r="G58" s="415"/>
      <c r="H58" s="415"/>
      <c r="I58" s="409"/>
      <c r="J58" s="63"/>
      <c r="K58" s="63"/>
      <c r="L58" s="63"/>
      <c r="M58" s="381"/>
      <c r="N58" s="414"/>
      <c r="O58" s="63"/>
      <c r="P58" s="381"/>
      <c r="Q58" s="415"/>
      <c r="R58" s="415"/>
      <c r="S58" s="415"/>
      <c r="T58" s="409"/>
      <c r="U58" s="63"/>
      <c r="V58" s="63"/>
      <c r="Y58" s="414"/>
      <c r="Z58" s="63"/>
      <c r="AA58" s="381"/>
      <c r="AB58" s="415"/>
      <c r="AC58" s="415"/>
      <c r="AD58" s="415"/>
      <c r="AE58" s="409"/>
      <c r="AF58" s="63"/>
      <c r="AG58" s="63"/>
    </row>
    <row r="59" spans="1:33" ht="12.75" hidden="1" customHeight="1" outlineLevel="1">
      <c r="A59" s="1206"/>
      <c r="C59" s="416" t="s">
        <v>345</v>
      </c>
      <c r="D59" s="417"/>
      <c r="E59" s="365"/>
      <c r="F59" s="418" t="s">
        <v>22</v>
      </c>
      <c r="G59" s="419"/>
      <c r="H59" s="418" t="s">
        <v>23</v>
      </c>
      <c r="I59" s="419"/>
      <c r="J59" s="63"/>
      <c r="K59" s="63"/>
      <c r="L59" s="63"/>
      <c r="M59" s="381"/>
      <c r="N59" s="416" t="s">
        <v>345</v>
      </c>
      <c r="O59" s="417"/>
      <c r="P59" s="365"/>
      <c r="Q59" s="418" t="s">
        <v>22</v>
      </c>
      <c r="R59" s="419"/>
      <c r="S59" s="418" t="s">
        <v>23</v>
      </c>
      <c r="T59" s="419"/>
      <c r="U59" s="63"/>
      <c r="V59" s="63"/>
      <c r="Y59" s="416" t="s">
        <v>345</v>
      </c>
      <c r="Z59" s="417"/>
      <c r="AA59" s="365"/>
      <c r="AB59" s="418" t="s">
        <v>22</v>
      </c>
      <c r="AC59" s="419"/>
      <c r="AD59" s="418" t="s">
        <v>23</v>
      </c>
      <c r="AE59" s="419"/>
      <c r="AF59" s="63"/>
      <c r="AG59" s="63"/>
    </row>
    <row r="60" spans="1:33" ht="12.75" hidden="1" customHeight="1" outlineLevel="1">
      <c r="A60" s="1206"/>
      <c r="C60" s="354"/>
      <c r="D60" s="69"/>
      <c r="E60" s="221"/>
      <c r="F60" s="420" t="s">
        <v>29</v>
      </c>
      <c r="G60" s="376"/>
      <c r="H60" s="420" t="s">
        <v>29</v>
      </c>
      <c r="I60" s="376"/>
      <c r="J60" s="63"/>
      <c r="K60" s="63"/>
      <c r="L60" s="63"/>
      <c r="M60" s="381"/>
      <c r="N60" s="354"/>
      <c r="O60" s="69"/>
      <c r="P60" s="221"/>
      <c r="Q60" s="420" t="s">
        <v>29</v>
      </c>
      <c r="R60" s="376"/>
      <c r="S60" s="420" t="s">
        <v>29</v>
      </c>
      <c r="T60" s="376"/>
      <c r="U60" s="63"/>
      <c r="V60" s="63"/>
      <c r="Y60" s="354"/>
      <c r="Z60" s="69"/>
      <c r="AA60" s="221"/>
      <c r="AB60" s="420" t="s">
        <v>29</v>
      </c>
      <c r="AC60" s="376"/>
      <c r="AD60" s="420" t="s">
        <v>29</v>
      </c>
      <c r="AE60" s="376"/>
      <c r="AF60" s="63"/>
      <c r="AG60" s="63"/>
    </row>
    <row r="61" spans="1:33" hidden="1" outlineLevel="1">
      <c r="A61" s="1206"/>
      <c r="C61" s="356" t="s">
        <v>343</v>
      </c>
      <c r="D61" s="407" t="s">
        <v>330</v>
      </c>
      <c r="E61" s="152">
        <v>6</v>
      </c>
      <c r="F61" s="394"/>
      <c r="G61" s="394"/>
      <c r="H61" s="394"/>
      <c r="I61" s="421"/>
      <c r="J61" s="63"/>
      <c r="K61" s="63"/>
      <c r="L61" s="381"/>
      <c r="M61" s="381"/>
      <c r="N61" s="356" t="s">
        <v>343</v>
      </c>
      <c r="O61" s="407" t="s">
        <v>330</v>
      </c>
      <c r="P61" s="152">
        <v>6</v>
      </c>
      <c r="Q61" s="394"/>
      <c r="R61" s="394"/>
      <c r="S61" s="394"/>
      <c r="T61" s="421"/>
      <c r="U61" s="63"/>
      <c r="V61" s="63"/>
      <c r="Y61" s="356" t="s">
        <v>343</v>
      </c>
      <c r="Z61" s="407" t="s">
        <v>330</v>
      </c>
      <c r="AA61" s="152">
        <v>6</v>
      </c>
      <c r="AB61" s="394"/>
      <c r="AC61" s="394"/>
      <c r="AD61" s="394"/>
      <c r="AE61" s="421"/>
      <c r="AF61" s="63"/>
      <c r="AG61" s="63"/>
    </row>
    <row r="62" spans="1:33" ht="12.75" hidden="1" customHeight="1" outlineLevel="1">
      <c r="A62" s="1206"/>
      <c r="C62" s="1159" t="s">
        <v>341</v>
      </c>
      <c r="D62" s="1160"/>
      <c r="E62" s="813"/>
      <c r="F62" s="410"/>
      <c r="G62" s="410"/>
      <c r="H62" s="410"/>
      <c r="I62" s="422"/>
      <c r="J62" s="401" t="str">
        <f>IF(OR(E62="",E62=0,E62=6),"","   überprüfe Eintragung!")</f>
        <v/>
      </c>
      <c r="K62" s="63"/>
      <c r="L62" s="381"/>
      <c r="M62" s="63"/>
      <c r="N62" s="1159" t="s">
        <v>341</v>
      </c>
      <c r="O62" s="1160"/>
      <c r="P62" s="813"/>
      <c r="Q62" s="410"/>
      <c r="R62" s="410"/>
      <c r="S62" s="410"/>
      <c r="T62" s="422"/>
      <c r="U62" s="401" t="str">
        <f>IF(OR(P62="",P62=0,P62=6),"","   überprüfe Eintragung!")</f>
        <v/>
      </c>
      <c r="V62" s="63"/>
      <c r="Y62" s="1159" t="s">
        <v>341</v>
      </c>
      <c r="Z62" s="1160"/>
      <c r="AA62" s="813"/>
      <c r="AB62" s="410"/>
      <c r="AC62" s="410"/>
      <c r="AD62" s="410"/>
      <c r="AE62" s="422"/>
      <c r="AF62" s="401" t="str">
        <f>IF(OR(AA62="",AA62=0,AA62=6),"","   überprüfe Eintragung!")</f>
        <v/>
      </c>
      <c r="AG62" s="63"/>
    </row>
    <row r="63" spans="1:33" hidden="1" outlineLevel="1">
      <c r="A63" s="1206"/>
      <c r="C63" s="1161" t="s">
        <v>346</v>
      </c>
      <c r="D63" s="1162"/>
      <c r="E63" s="813"/>
      <c r="F63" s="410">
        <f>E61*E63+E62*E63</f>
        <v>0</v>
      </c>
      <c r="G63" s="410"/>
      <c r="H63" s="410"/>
      <c r="I63" s="410"/>
      <c r="J63" s="63"/>
      <c r="K63" s="63"/>
      <c r="L63" s="381"/>
      <c r="M63" s="63"/>
      <c r="N63" s="1161" t="s">
        <v>346</v>
      </c>
      <c r="O63" s="1162"/>
      <c r="P63" s="813"/>
      <c r="Q63" s="410">
        <f>P61*P63+P62*P63</f>
        <v>0</v>
      </c>
      <c r="R63" s="410"/>
      <c r="S63" s="410"/>
      <c r="T63" s="410"/>
      <c r="U63" s="63"/>
      <c r="V63" s="63"/>
      <c r="Y63" s="1161" t="s">
        <v>346</v>
      </c>
      <c r="Z63" s="1162"/>
      <c r="AA63" s="813"/>
      <c r="AB63" s="410">
        <f>AA61*AA63+AA62*AA63</f>
        <v>0</v>
      </c>
      <c r="AC63" s="410"/>
      <c r="AD63" s="410"/>
      <c r="AE63" s="410"/>
      <c r="AF63" s="63"/>
      <c r="AG63" s="63"/>
    </row>
    <row r="64" spans="1:33" hidden="1" outlineLevel="1">
      <c r="A64" s="1206"/>
      <c r="C64" s="92" t="s">
        <v>344</v>
      </c>
      <c r="D64" s="63"/>
      <c r="E64" s="152"/>
      <c r="F64" s="410"/>
      <c r="G64" s="410"/>
      <c r="H64" s="410"/>
      <c r="I64" s="410"/>
      <c r="J64" s="63"/>
      <c r="K64" s="63"/>
      <c r="L64" s="63"/>
      <c r="M64" s="63"/>
      <c r="N64" s="92" t="s">
        <v>344</v>
      </c>
      <c r="O64" s="63"/>
      <c r="P64" s="152"/>
      <c r="Q64" s="410"/>
      <c r="R64" s="410"/>
      <c r="S64" s="410"/>
      <c r="T64" s="410"/>
      <c r="U64" s="63"/>
      <c r="V64" s="63"/>
      <c r="Y64" s="92" t="s">
        <v>344</v>
      </c>
      <c r="Z64" s="63"/>
      <c r="AA64" s="152"/>
      <c r="AB64" s="410"/>
      <c r="AC64" s="410"/>
      <c r="AD64" s="410"/>
      <c r="AE64" s="410"/>
      <c r="AF64" s="63"/>
      <c r="AG64" s="63"/>
    </row>
    <row r="65" spans="1:33" hidden="1" outlineLevel="1">
      <c r="A65" s="1206"/>
      <c r="C65" s="1159" t="s">
        <v>339</v>
      </c>
      <c r="D65" s="1160"/>
      <c r="E65" s="813"/>
      <c r="F65" s="410"/>
      <c r="G65" s="410"/>
      <c r="H65" s="410"/>
      <c r="I65" s="410"/>
      <c r="J65" s="401" t="str">
        <f>IF(OR(E65="",E65=0,E65=6,E65=12),"","   überprüfe Eintragung!")</f>
        <v/>
      </c>
      <c r="K65" s="63"/>
      <c r="L65" s="63"/>
      <c r="M65" s="63"/>
      <c r="N65" s="1159" t="s">
        <v>339</v>
      </c>
      <c r="O65" s="1160"/>
      <c r="P65" s="813"/>
      <c r="Q65" s="410"/>
      <c r="R65" s="410"/>
      <c r="S65" s="410"/>
      <c r="T65" s="410"/>
      <c r="U65" s="401" t="str">
        <f>IF(OR(P65="",P65=0,P65=6,P65=12),"","   überprüfe Eintragung!")</f>
        <v/>
      </c>
      <c r="V65" s="63"/>
      <c r="Y65" s="1159" t="s">
        <v>339</v>
      </c>
      <c r="Z65" s="1160"/>
      <c r="AA65" s="813"/>
      <c r="AB65" s="410"/>
      <c r="AC65" s="410"/>
      <c r="AD65" s="410"/>
      <c r="AE65" s="410"/>
      <c r="AF65" s="401" t="str">
        <f>IF(OR(AA65="",AA65=0,AA65=6,AA65=12),"","   überprüfe Eintragung!")</f>
        <v/>
      </c>
      <c r="AG65" s="63"/>
    </row>
    <row r="66" spans="1:33" hidden="1" outlineLevel="1">
      <c r="A66" s="1206"/>
      <c r="C66" s="1159" t="s">
        <v>340</v>
      </c>
      <c r="D66" s="1160"/>
      <c r="E66" s="867">
        <v>0.34</v>
      </c>
      <c r="F66" s="410"/>
      <c r="G66" s="410"/>
      <c r="H66" s="410"/>
      <c r="I66" s="410"/>
      <c r="J66" s="63"/>
      <c r="K66" s="63"/>
      <c r="L66" s="63"/>
      <c r="M66" s="63"/>
      <c r="N66" s="1159" t="s">
        <v>340</v>
      </c>
      <c r="O66" s="1160"/>
      <c r="P66" s="867">
        <v>0.34</v>
      </c>
      <c r="Q66" s="410"/>
      <c r="R66" s="410"/>
      <c r="S66" s="410"/>
      <c r="T66" s="410"/>
      <c r="U66" s="63"/>
      <c r="V66" s="63"/>
      <c r="Y66" s="1159" t="s">
        <v>340</v>
      </c>
      <c r="Z66" s="1160"/>
      <c r="AA66" s="867">
        <v>0.34</v>
      </c>
      <c r="AB66" s="410"/>
      <c r="AC66" s="410"/>
      <c r="AD66" s="410"/>
      <c r="AE66" s="410"/>
      <c r="AF66" s="63"/>
      <c r="AG66" s="63"/>
    </row>
    <row r="67" spans="1:33" hidden="1" outlineLevel="1">
      <c r="A67" s="1206"/>
      <c r="C67" s="1161" t="s">
        <v>347</v>
      </c>
      <c r="D67" s="1191"/>
      <c r="E67" s="423">
        <f>IF(E65&gt;0,E63*(1-E66),0)</f>
        <v>0</v>
      </c>
      <c r="F67" s="94"/>
      <c r="G67" s="94"/>
      <c r="H67" s="94">
        <f>E65*E67</f>
        <v>0</v>
      </c>
      <c r="I67" s="94"/>
      <c r="J67" s="63"/>
      <c r="K67" s="63"/>
      <c r="L67" s="63"/>
      <c r="M67" s="63"/>
      <c r="N67" s="1161" t="s">
        <v>347</v>
      </c>
      <c r="O67" s="1191"/>
      <c r="P67" s="423">
        <f>IF(P65&gt;0,P63*(1-P66),0)</f>
        <v>0</v>
      </c>
      <c r="Q67" s="94"/>
      <c r="R67" s="94"/>
      <c r="S67" s="94">
        <f>P65*P67</f>
        <v>0</v>
      </c>
      <c r="T67" s="94"/>
      <c r="U67" s="63"/>
      <c r="V67" s="63"/>
      <c r="Y67" s="1161" t="s">
        <v>347</v>
      </c>
      <c r="Z67" s="1191"/>
      <c r="AA67" s="423">
        <f>IF(AA65&gt;0,AA63*(1-AA66),0)</f>
        <v>0</v>
      </c>
      <c r="AB67" s="94"/>
      <c r="AC67" s="94"/>
      <c r="AD67" s="94">
        <f>AA65*AA67</f>
        <v>0</v>
      </c>
      <c r="AE67" s="94"/>
      <c r="AF67" s="63"/>
      <c r="AG67" s="63"/>
    </row>
    <row r="68" spans="1:33" hidden="1" outlineLevel="1">
      <c r="A68" s="1207"/>
      <c r="C68" s="86"/>
      <c r="D68" s="424"/>
      <c r="E68" s="425" t="s">
        <v>337</v>
      </c>
      <c r="F68" s="384">
        <f>F63</f>
        <v>0</v>
      </c>
      <c r="G68" s="384"/>
      <c r="H68" s="384">
        <f>H64+H67</f>
        <v>0</v>
      </c>
      <c r="I68" s="384"/>
      <c r="J68" s="63"/>
      <c r="K68" s="63"/>
      <c r="L68" s="63"/>
      <c r="M68" s="63"/>
      <c r="N68" s="86"/>
      <c r="O68" s="424"/>
      <c r="P68" s="425" t="s">
        <v>337</v>
      </c>
      <c r="Q68" s="384">
        <f>Q63</f>
        <v>0</v>
      </c>
      <c r="R68" s="384"/>
      <c r="S68" s="384">
        <f>S64+S67</f>
        <v>0</v>
      </c>
      <c r="T68" s="384"/>
      <c r="U68" s="63"/>
      <c r="V68" s="63"/>
      <c r="Y68" s="86"/>
      <c r="Z68" s="424"/>
      <c r="AA68" s="425" t="s">
        <v>337</v>
      </c>
      <c r="AB68" s="384">
        <f>AB63</f>
        <v>0</v>
      </c>
      <c r="AC68" s="384"/>
      <c r="AD68" s="384">
        <f>AD64+AD67</f>
        <v>0</v>
      </c>
      <c r="AE68" s="384"/>
      <c r="AF68" s="63"/>
      <c r="AG68" s="63"/>
    </row>
    <row r="69" spans="1:33" collapsed="1">
      <c r="C69" s="401" t="str">
        <f>IF(AND(F57&gt;0,F68&gt;0),"Achtung: Gründerzuschuss und ALG II können nicht gleichzeitig beantragt werden","")</f>
        <v/>
      </c>
      <c r="D69" s="63"/>
      <c r="E69" s="63"/>
      <c r="F69" s="63"/>
      <c r="G69" s="63"/>
      <c r="H69" s="63"/>
      <c r="I69" s="63"/>
      <c r="J69" s="63"/>
      <c r="K69" s="63"/>
      <c r="L69" s="63"/>
      <c r="M69" s="63"/>
      <c r="N69" s="63"/>
      <c r="O69" s="63"/>
      <c r="P69" s="63"/>
      <c r="Q69" s="63"/>
      <c r="R69" s="63"/>
      <c r="S69" s="63"/>
      <c r="T69" s="63"/>
      <c r="Y69" s="63"/>
      <c r="Z69" s="63"/>
      <c r="AA69" s="63"/>
      <c r="AB69" s="63"/>
      <c r="AC69" s="63"/>
      <c r="AD69" s="63"/>
      <c r="AE69" s="63"/>
    </row>
    <row r="70" spans="1:33">
      <c r="C70" s="63"/>
      <c r="D70" s="63"/>
      <c r="E70" s="63"/>
      <c r="F70" s="63"/>
      <c r="G70" s="63"/>
      <c r="H70" s="63"/>
      <c r="I70" s="63"/>
      <c r="J70" s="63"/>
      <c r="K70" s="63"/>
      <c r="L70" s="63"/>
      <c r="M70" s="63"/>
      <c r="N70" s="63"/>
      <c r="O70" s="63"/>
      <c r="P70" s="63"/>
      <c r="Q70" s="63"/>
      <c r="R70" s="63"/>
      <c r="S70" s="63"/>
      <c r="T70" s="63"/>
      <c r="Y70" s="63"/>
      <c r="Z70" s="63"/>
      <c r="AA70" s="63"/>
      <c r="AB70" s="63"/>
      <c r="AC70" s="63"/>
      <c r="AD70" s="63"/>
      <c r="AE70" s="63"/>
    </row>
    <row r="71" spans="1:33">
      <c r="C71" s="63"/>
      <c r="D71" s="63"/>
      <c r="E71" s="63"/>
      <c r="F71" s="63"/>
      <c r="G71" s="63"/>
      <c r="H71" s="63"/>
      <c r="I71" s="63"/>
      <c r="J71" s="63"/>
      <c r="K71" s="63"/>
      <c r="L71" s="63"/>
      <c r="M71" s="63"/>
      <c r="N71" s="63"/>
      <c r="O71" s="63"/>
      <c r="P71" s="63"/>
      <c r="Q71" s="63"/>
      <c r="R71" s="63"/>
      <c r="S71" s="63"/>
      <c r="T71" s="63"/>
      <c r="Y71" s="63"/>
      <c r="Z71" s="63"/>
      <c r="AA71" s="63"/>
      <c r="AB71" s="63"/>
      <c r="AC71" s="63"/>
      <c r="AD71" s="63"/>
      <c r="AE71" s="63"/>
    </row>
    <row r="72" spans="1:33">
      <c r="C72" s="67"/>
      <c r="D72" s="67"/>
      <c r="E72" s="426"/>
      <c r="F72" s="63"/>
      <c r="G72" s="63"/>
      <c r="H72" s="63"/>
      <c r="I72" s="63"/>
      <c r="J72" s="63"/>
      <c r="K72" s="63"/>
      <c r="L72" s="63"/>
      <c r="M72" s="63"/>
      <c r="N72" s="63"/>
      <c r="O72" s="63"/>
      <c r="P72" s="63"/>
      <c r="Q72" s="63"/>
      <c r="R72" s="63"/>
      <c r="S72" s="63"/>
      <c r="T72" s="63"/>
      <c r="Y72" s="63"/>
      <c r="Z72" s="63"/>
      <c r="AA72" s="63"/>
      <c r="AB72" s="63"/>
      <c r="AC72" s="63"/>
      <c r="AD72" s="63"/>
      <c r="AE72" s="63"/>
    </row>
    <row r="73" spans="1:33">
      <c r="C73" s="63"/>
      <c r="D73" s="63"/>
      <c r="E73" s="1209"/>
      <c r="F73" s="1209"/>
      <c r="G73" s="1209"/>
      <c r="H73" s="1209"/>
      <c r="I73" s="1209"/>
      <c r="J73" s="1209"/>
      <c r="K73" s="1209"/>
      <c r="L73" s="63"/>
      <c r="M73" s="63"/>
      <c r="N73" s="63"/>
      <c r="O73" s="63"/>
      <c r="P73" s="63"/>
      <c r="Q73" s="63"/>
      <c r="R73" s="63"/>
      <c r="S73" s="63"/>
      <c r="T73" s="63"/>
      <c r="Y73" s="63"/>
      <c r="Z73" s="63"/>
      <c r="AA73" s="63"/>
      <c r="AB73" s="63"/>
      <c r="AC73" s="63"/>
      <c r="AD73" s="63"/>
      <c r="AE73" s="63"/>
    </row>
    <row r="74" spans="1:33">
      <c r="C74" s="63"/>
      <c r="D74" s="63"/>
      <c r="E74" s="427"/>
      <c r="F74" s="63"/>
      <c r="G74" s="427"/>
      <c r="H74" s="427"/>
      <c r="I74" s="427"/>
      <c r="J74" s="427"/>
      <c r="K74" s="427"/>
      <c r="L74" s="63"/>
      <c r="M74" s="63"/>
      <c r="N74" s="63"/>
      <c r="O74" s="63"/>
      <c r="P74" s="63"/>
      <c r="Q74" s="63"/>
      <c r="R74" s="63"/>
      <c r="S74" s="63"/>
      <c r="T74" s="63"/>
      <c r="Y74" s="63"/>
      <c r="Z74" s="63"/>
      <c r="AA74" s="63"/>
      <c r="AB74" s="63"/>
      <c r="AC74" s="63"/>
      <c r="AD74" s="63"/>
      <c r="AE74" s="63"/>
    </row>
    <row r="75" spans="1:33">
      <c r="C75" s="63"/>
      <c r="D75" s="63"/>
      <c r="E75" s="166"/>
      <c r="F75" s="428"/>
      <c r="G75" s="428"/>
      <c r="H75" s="428"/>
      <c r="I75" s="428"/>
      <c r="J75" s="428"/>
      <c r="K75" s="428"/>
      <c r="L75" s="63"/>
      <c r="M75" s="63"/>
      <c r="N75" s="63"/>
      <c r="O75" s="63"/>
      <c r="P75" s="63"/>
      <c r="Q75" s="63"/>
      <c r="R75" s="63"/>
      <c r="S75" s="63"/>
      <c r="T75" s="63"/>
      <c r="Y75" s="63"/>
      <c r="Z75" s="63"/>
      <c r="AA75" s="63"/>
      <c r="AB75" s="63"/>
      <c r="AC75" s="63"/>
      <c r="AD75" s="63"/>
      <c r="AE75" s="63"/>
    </row>
    <row r="76" spans="1:33">
      <c r="C76" s="63"/>
      <c r="D76" s="152"/>
      <c r="E76" s="427"/>
      <c r="F76" s="427"/>
      <c r="G76" s="427"/>
      <c r="H76" s="427"/>
      <c r="I76" s="427"/>
      <c r="J76" s="427"/>
      <c r="K76" s="166"/>
      <c r="L76" s="63"/>
      <c r="M76" s="63"/>
      <c r="N76" s="63"/>
      <c r="O76" s="63"/>
      <c r="P76" s="63"/>
      <c r="Q76" s="63"/>
      <c r="R76" s="63"/>
      <c r="S76" s="63"/>
      <c r="T76" s="63"/>
      <c r="Y76" s="63"/>
      <c r="Z76" s="63"/>
      <c r="AA76" s="63"/>
      <c r="AB76" s="63"/>
      <c r="AC76" s="63"/>
      <c r="AD76" s="63"/>
      <c r="AE76" s="63"/>
    </row>
    <row r="77" spans="1:33">
      <c r="C77" s="63"/>
      <c r="D77" s="136"/>
      <c r="E77" s="427"/>
      <c r="F77" s="427"/>
      <c r="G77" s="427"/>
      <c r="H77" s="427"/>
      <c r="I77" s="427"/>
      <c r="J77" s="427"/>
      <c r="K77" s="429"/>
      <c r="L77" s="63"/>
      <c r="M77" s="63"/>
      <c r="N77" s="63"/>
      <c r="O77" s="63"/>
      <c r="P77" s="63"/>
      <c r="Q77" s="63"/>
      <c r="R77" s="63"/>
      <c r="S77" s="63"/>
      <c r="T77" s="63"/>
      <c r="Y77" s="63"/>
      <c r="Z77" s="63"/>
      <c r="AA77" s="63"/>
      <c r="AB77" s="63"/>
      <c r="AC77" s="63"/>
      <c r="AD77" s="63"/>
      <c r="AE77" s="63"/>
    </row>
    <row r="78" spans="1:33">
      <c r="C78" s="63"/>
      <c r="D78" s="430"/>
      <c r="E78" s="427"/>
      <c r="F78" s="427"/>
      <c r="G78" s="427"/>
      <c r="H78" s="427"/>
      <c r="I78" s="427"/>
      <c r="J78" s="427"/>
      <c r="K78" s="427"/>
      <c r="L78" s="63"/>
      <c r="M78" s="63"/>
      <c r="N78" s="63"/>
      <c r="O78" s="63"/>
      <c r="P78" s="63"/>
      <c r="Q78" s="63"/>
      <c r="R78" s="63"/>
      <c r="S78" s="63"/>
      <c r="T78" s="63"/>
      <c r="Y78" s="63"/>
      <c r="Z78" s="63"/>
      <c r="AA78" s="63"/>
      <c r="AB78" s="63"/>
      <c r="AC78" s="63"/>
      <c r="AD78" s="63"/>
      <c r="AE78" s="63"/>
    </row>
    <row r="79" spans="1:33">
      <c r="C79" s="381"/>
      <c r="D79" s="381"/>
      <c r="E79" s="427"/>
      <c r="F79" s="427"/>
      <c r="G79" s="427"/>
      <c r="H79" s="427"/>
      <c r="I79" s="427"/>
      <c r="J79" s="427"/>
      <c r="K79" s="427"/>
      <c r="L79" s="63"/>
      <c r="M79" s="63"/>
      <c r="N79" s="63"/>
      <c r="O79" s="63"/>
      <c r="P79" s="63"/>
      <c r="Q79" s="63"/>
      <c r="R79" s="63"/>
      <c r="S79" s="63"/>
      <c r="T79" s="63"/>
      <c r="Y79" s="63"/>
      <c r="Z79" s="63"/>
      <c r="AA79" s="63"/>
      <c r="AB79" s="63"/>
      <c r="AC79" s="63"/>
      <c r="AD79" s="63"/>
      <c r="AE79" s="63"/>
    </row>
    <row r="80" spans="1:33">
      <c r="C80" s="63"/>
      <c r="D80" s="63"/>
      <c r="E80" s="427"/>
      <c r="F80" s="427"/>
      <c r="G80" s="427"/>
      <c r="H80" s="427"/>
      <c r="I80" s="427"/>
      <c r="J80" s="427"/>
      <c r="K80" s="166"/>
      <c r="L80" s="63"/>
      <c r="M80" s="63"/>
      <c r="N80" s="63"/>
      <c r="O80" s="63"/>
      <c r="P80" s="63"/>
      <c r="Q80" s="63"/>
      <c r="R80" s="63"/>
      <c r="S80" s="63"/>
      <c r="T80" s="63"/>
      <c r="Y80" s="63"/>
      <c r="Z80" s="63"/>
      <c r="AA80" s="63"/>
      <c r="AB80" s="63"/>
      <c r="AC80" s="63"/>
      <c r="AD80" s="63"/>
      <c r="AE80" s="63"/>
    </row>
    <row r="81" spans="3:31">
      <c r="C81" s="63"/>
      <c r="D81" s="63"/>
      <c r="E81" s="63"/>
      <c r="F81" s="63"/>
      <c r="G81" s="63"/>
      <c r="H81" s="63"/>
      <c r="I81" s="63"/>
      <c r="J81" s="63"/>
      <c r="K81" s="63"/>
      <c r="L81" s="63"/>
      <c r="M81" s="63"/>
      <c r="N81" s="63"/>
      <c r="O81" s="63"/>
      <c r="P81" s="63"/>
      <c r="Q81" s="63"/>
      <c r="R81" s="63"/>
      <c r="S81" s="63"/>
      <c r="T81" s="63"/>
      <c r="Y81" s="63"/>
      <c r="Z81" s="63"/>
      <c r="AA81" s="63"/>
      <c r="AB81" s="63"/>
      <c r="AC81" s="63"/>
      <c r="AD81" s="63"/>
      <c r="AE81" s="63"/>
    </row>
    <row r="82" spans="3:31">
      <c r="C82" s="63"/>
      <c r="D82" s="63"/>
      <c r="E82" s="63"/>
      <c r="F82" s="63"/>
      <c r="G82" s="63"/>
      <c r="H82" s="63"/>
      <c r="I82" s="63"/>
      <c r="J82" s="63"/>
      <c r="K82" s="63"/>
      <c r="L82" s="63"/>
      <c r="M82" s="63"/>
      <c r="N82" s="63"/>
      <c r="O82" s="63"/>
      <c r="P82" s="63"/>
      <c r="Q82" s="63"/>
      <c r="R82" s="63"/>
      <c r="S82" s="63"/>
      <c r="T82" s="63"/>
      <c r="Y82" s="63"/>
      <c r="Z82" s="63"/>
      <c r="AA82" s="63"/>
      <c r="AB82" s="63"/>
      <c r="AC82" s="63"/>
      <c r="AD82" s="63"/>
      <c r="AE82" s="63"/>
    </row>
    <row r="83" spans="3:31">
      <c r="C83" s="63"/>
      <c r="D83" s="63"/>
      <c r="E83" s="63"/>
      <c r="F83" s="63"/>
      <c r="G83" s="63"/>
      <c r="H83" s="63"/>
      <c r="I83" s="63"/>
      <c r="J83" s="63"/>
      <c r="K83" s="63"/>
      <c r="L83" s="63"/>
      <c r="M83" s="63"/>
      <c r="N83" s="63"/>
      <c r="O83" s="63"/>
      <c r="P83" s="63"/>
      <c r="Q83" s="63"/>
      <c r="R83" s="63"/>
      <c r="S83" s="63"/>
      <c r="T83" s="63"/>
      <c r="Y83" s="63"/>
      <c r="Z83" s="63"/>
      <c r="AA83" s="63"/>
      <c r="AB83" s="63"/>
      <c r="AC83" s="63"/>
      <c r="AD83" s="63"/>
      <c r="AE83" s="63"/>
    </row>
    <row r="84" spans="3:31">
      <c r="C84" s="63"/>
      <c r="D84" s="63"/>
      <c r="E84" s="63"/>
      <c r="F84" s="63"/>
      <c r="G84" s="63"/>
      <c r="H84" s="63"/>
      <c r="I84" s="63"/>
      <c r="J84" s="63"/>
      <c r="K84" s="63"/>
      <c r="L84" s="63"/>
      <c r="M84" s="63"/>
      <c r="N84" s="63"/>
      <c r="O84" s="63"/>
      <c r="P84" s="63"/>
      <c r="Q84" s="63"/>
      <c r="R84" s="63"/>
      <c r="S84" s="63"/>
      <c r="T84" s="63"/>
      <c r="Y84" s="63"/>
      <c r="Z84" s="63"/>
      <c r="AA84" s="63"/>
      <c r="AB84" s="63"/>
      <c r="AC84" s="63"/>
      <c r="AD84" s="63"/>
      <c r="AE84" s="63"/>
    </row>
    <row r="85" spans="3:31">
      <c r="C85" s="63"/>
      <c r="D85" s="63"/>
      <c r="E85" s="63"/>
      <c r="F85" s="63"/>
      <c r="G85" s="63"/>
      <c r="H85" s="63"/>
      <c r="I85" s="63"/>
      <c r="J85" s="63"/>
      <c r="K85" s="63"/>
      <c r="L85" s="63"/>
      <c r="M85" s="63"/>
      <c r="N85" s="63"/>
      <c r="O85" s="63"/>
      <c r="P85" s="63"/>
      <c r="Q85" s="63"/>
      <c r="R85" s="63"/>
      <c r="S85" s="63"/>
      <c r="T85" s="63"/>
      <c r="Y85" s="63"/>
      <c r="Z85" s="63"/>
      <c r="AA85" s="63"/>
      <c r="AB85" s="63"/>
      <c r="AC85" s="63"/>
      <c r="AD85" s="63"/>
      <c r="AE85" s="63"/>
    </row>
    <row r="86" spans="3:31">
      <c r="C86" s="63"/>
      <c r="D86" s="63"/>
      <c r="E86" s="63"/>
      <c r="F86" s="63"/>
      <c r="G86" s="63"/>
      <c r="H86" s="63"/>
      <c r="I86" s="63"/>
      <c r="J86" s="63"/>
      <c r="K86" s="63"/>
      <c r="L86" s="63"/>
      <c r="M86" s="63"/>
      <c r="N86" s="63"/>
      <c r="O86" s="63"/>
      <c r="P86" s="63"/>
      <c r="Q86" s="63"/>
      <c r="R86" s="63"/>
      <c r="S86" s="63"/>
      <c r="T86" s="63"/>
      <c r="Y86" s="63"/>
      <c r="Z86" s="63"/>
      <c r="AA86" s="63"/>
      <c r="AB86" s="63"/>
      <c r="AC86" s="63"/>
      <c r="AD86" s="63"/>
      <c r="AE86" s="63"/>
    </row>
    <row r="87" spans="3:31">
      <c r="C87" s="63"/>
      <c r="D87" s="63"/>
      <c r="E87" s="63"/>
      <c r="F87" s="63"/>
      <c r="G87" s="63"/>
      <c r="H87" s="63"/>
      <c r="I87" s="63"/>
      <c r="J87" s="63"/>
      <c r="K87" s="63"/>
      <c r="L87" s="63"/>
      <c r="M87" s="63"/>
      <c r="N87" s="63"/>
      <c r="O87" s="63"/>
      <c r="P87" s="63"/>
      <c r="Q87" s="63"/>
      <c r="R87" s="63"/>
      <c r="S87" s="63"/>
      <c r="T87" s="63"/>
      <c r="Y87" s="63"/>
      <c r="Z87" s="63"/>
      <c r="AA87" s="63"/>
      <c r="AB87" s="63"/>
      <c r="AC87" s="63"/>
      <c r="AD87" s="63"/>
      <c r="AE87" s="63"/>
    </row>
    <row r="88" spans="3:31">
      <c r="C88" s="63"/>
      <c r="D88" s="63"/>
      <c r="E88" s="63"/>
      <c r="F88" s="63"/>
      <c r="G88" s="63"/>
      <c r="H88" s="63"/>
      <c r="I88" s="63"/>
      <c r="J88" s="63"/>
      <c r="K88" s="63"/>
      <c r="L88" s="63"/>
      <c r="M88" s="63"/>
      <c r="N88" s="63"/>
      <c r="O88" s="63"/>
      <c r="P88" s="63"/>
      <c r="Q88" s="63"/>
      <c r="R88" s="63"/>
      <c r="S88" s="63"/>
      <c r="T88" s="63"/>
      <c r="Y88" s="63"/>
      <c r="Z88" s="63"/>
      <c r="AA88" s="63"/>
      <c r="AB88" s="63"/>
      <c r="AC88" s="63"/>
      <c r="AD88" s="63"/>
      <c r="AE88" s="63"/>
    </row>
    <row r="89" spans="3:31">
      <c r="C89" s="63"/>
      <c r="D89" s="63"/>
      <c r="E89" s="63"/>
      <c r="F89" s="63"/>
      <c r="G89" s="63"/>
      <c r="H89" s="63"/>
      <c r="I89" s="63"/>
      <c r="J89" s="63"/>
      <c r="K89" s="63"/>
      <c r="L89" s="63"/>
      <c r="M89" s="63"/>
      <c r="N89" s="63"/>
      <c r="O89" s="63"/>
      <c r="P89" s="63"/>
      <c r="Q89" s="63"/>
      <c r="R89" s="63"/>
      <c r="S89" s="63"/>
      <c r="T89" s="63"/>
      <c r="Y89" s="63"/>
      <c r="Z89" s="63"/>
      <c r="AA89" s="63"/>
      <c r="AB89" s="63"/>
      <c r="AC89" s="63"/>
      <c r="AD89" s="63"/>
      <c r="AE89" s="63"/>
    </row>
    <row r="90" spans="3:31">
      <c r="C90" s="63"/>
      <c r="D90" s="63"/>
      <c r="E90" s="63"/>
      <c r="F90" s="63"/>
      <c r="G90" s="63"/>
      <c r="H90" s="63"/>
      <c r="I90" s="63"/>
      <c r="J90" s="63"/>
      <c r="K90" s="63"/>
      <c r="L90" s="63"/>
      <c r="M90" s="63"/>
      <c r="N90" s="63"/>
      <c r="O90" s="63"/>
      <c r="P90" s="63"/>
      <c r="Q90" s="63"/>
      <c r="R90" s="63"/>
      <c r="S90" s="63"/>
      <c r="T90" s="63"/>
      <c r="Y90" s="63"/>
      <c r="Z90" s="63"/>
      <c r="AA90" s="63"/>
      <c r="AB90" s="63"/>
      <c r="AC90" s="63"/>
      <c r="AD90" s="63"/>
      <c r="AE90" s="63"/>
    </row>
    <row r="91" spans="3:31">
      <c r="C91" s="63"/>
      <c r="D91" s="63"/>
      <c r="E91" s="63"/>
      <c r="F91" s="63"/>
      <c r="G91" s="63"/>
      <c r="H91" s="63"/>
      <c r="I91" s="63"/>
      <c r="J91" s="63"/>
      <c r="K91" s="63"/>
      <c r="L91" s="63"/>
      <c r="M91" s="63"/>
      <c r="N91" s="63"/>
      <c r="O91" s="63"/>
      <c r="P91" s="63"/>
      <c r="Q91" s="63"/>
      <c r="R91" s="63"/>
      <c r="S91" s="63"/>
      <c r="T91" s="63"/>
      <c r="Y91" s="63"/>
      <c r="Z91" s="63"/>
      <c r="AA91" s="63"/>
      <c r="AB91" s="63"/>
      <c r="AC91" s="63"/>
      <c r="AD91" s="63"/>
      <c r="AE91" s="63"/>
    </row>
    <row r="92" spans="3:31">
      <c r="C92" s="63"/>
      <c r="D92" s="63"/>
      <c r="E92" s="63"/>
      <c r="F92" s="63"/>
      <c r="G92" s="63"/>
      <c r="H92" s="63"/>
      <c r="I92" s="63"/>
      <c r="J92" s="63"/>
      <c r="K92" s="63"/>
      <c r="L92" s="63"/>
      <c r="M92" s="63"/>
      <c r="N92" s="63"/>
      <c r="O92" s="63"/>
      <c r="P92" s="63"/>
      <c r="Q92" s="63"/>
      <c r="R92" s="63"/>
      <c r="S92" s="63"/>
      <c r="T92" s="63"/>
      <c r="Y92" s="63"/>
      <c r="Z92" s="63"/>
      <c r="AA92" s="63"/>
      <c r="AB92" s="63"/>
      <c r="AC92" s="63"/>
      <c r="AD92" s="63"/>
      <c r="AE92" s="63"/>
    </row>
    <row r="93" spans="3:31">
      <c r="C93" s="63"/>
      <c r="D93" s="63"/>
      <c r="E93" s="63"/>
      <c r="F93" s="63"/>
      <c r="G93" s="63"/>
      <c r="H93" s="63"/>
      <c r="I93" s="63"/>
      <c r="J93" s="63"/>
      <c r="K93" s="63"/>
      <c r="L93" s="63"/>
      <c r="M93" s="63"/>
      <c r="N93" s="63"/>
      <c r="O93" s="63"/>
      <c r="P93" s="63"/>
      <c r="Q93" s="63"/>
      <c r="R93" s="63"/>
      <c r="S93" s="63"/>
      <c r="T93" s="63"/>
      <c r="Y93" s="63"/>
      <c r="Z93" s="63"/>
      <c r="AA93" s="63"/>
      <c r="AB93" s="63"/>
      <c r="AC93" s="63"/>
      <c r="AD93" s="63"/>
      <c r="AE93" s="63"/>
    </row>
    <row r="94" spans="3:31">
      <c r="C94" s="63"/>
      <c r="D94" s="63"/>
      <c r="E94" s="63"/>
      <c r="F94" s="63"/>
      <c r="G94" s="63"/>
      <c r="H94" s="63"/>
      <c r="I94" s="63"/>
      <c r="J94" s="63"/>
      <c r="K94" s="63"/>
      <c r="L94" s="63"/>
      <c r="M94" s="63"/>
      <c r="N94" s="63"/>
      <c r="O94" s="63"/>
      <c r="P94" s="63"/>
      <c r="Q94" s="63"/>
      <c r="R94" s="63"/>
      <c r="S94" s="63"/>
      <c r="T94" s="63"/>
      <c r="Y94" s="63"/>
      <c r="Z94" s="63"/>
      <c r="AA94" s="63"/>
      <c r="AB94" s="63"/>
      <c r="AC94" s="63"/>
      <c r="AD94" s="63"/>
      <c r="AE94" s="63"/>
    </row>
    <row r="95" spans="3:31">
      <c r="C95" s="63"/>
      <c r="D95" s="63"/>
      <c r="E95" s="63"/>
      <c r="F95" s="63"/>
      <c r="G95" s="63"/>
      <c r="H95" s="63"/>
      <c r="I95" s="63"/>
      <c r="J95" s="63"/>
      <c r="K95" s="63"/>
      <c r="L95" s="63"/>
      <c r="M95" s="63"/>
      <c r="N95" s="63"/>
      <c r="O95" s="63"/>
      <c r="P95" s="63"/>
      <c r="Q95" s="63"/>
      <c r="R95" s="63"/>
      <c r="S95" s="63"/>
      <c r="T95" s="63"/>
      <c r="Y95" s="63"/>
      <c r="Z95" s="63"/>
      <c r="AA95" s="63"/>
      <c r="AB95" s="63"/>
      <c r="AC95" s="63"/>
      <c r="AD95" s="63"/>
      <c r="AE95" s="63"/>
    </row>
    <row r="96" spans="3:31">
      <c r="C96" s="63"/>
      <c r="D96" s="63"/>
      <c r="E96" s="63"/>
      <c r="F96" s="63"/>
      <c r="G96" s="63"/>
      <c r="H96" s="63"/>
      <c r="I96" s="63"/>
      <c r="J96" s="63"/>
      <c r="K96" s="63"/>
      <c r="L96" s="63"/>
      <c r="M96" s="63"/>
      <c r="N96" s="63"/>
      <c r="O96" s="63"/>
      <c r="P96" s="63"/>
      <c r="Q96" s="63"/>
      <c r="R96" s="63"/>
      <c r="S96" s="63"/>
      <c r="T96" s="63"/>
      <c r="Y96" s="63"/>
      <c r="Z96" s="63"/>
      <c r="AA96" s="63"/>
      <c r="AB96" s="63"/>
      <c r="AC96" s="63"/>
      <c r="AD96" s="63"/>
      <c r="AE96" s="63"/>
    </row>
    <row r="97" spans="3:31">
      <c r="C97" s="63"/>
      <c r="D97" s="63"/>
      <c r="E97" s="63"/>
      <c r="F97" s="63"/>
      <c r="G97" s="63"/>
      <c r="H97" s="63"/>
      <c r="I97" s="63"/>
      <c r="J97" s="63"/>
      <c r="K97" s="63"/>
      <c r="L97" s="63"/>
      <c r="M97" s="63"/>
      <c r="N97" s="63"/>
      <c r="O97" s="63"/>
      <c r="P97" s="63"/>
      <c r="Q97" s="63"/>
      <c r="R97" s="63"/>
      <c r="S97" s="63"/>
      <c r="T97" s="63"/>
      <c r="Y97" s="63"/>
      <c r="Z97" s="63"/>
      <c r="AA97" s="63"/>
      <c r="AB97" s="63"/>
      <c r="AC97" s="63"/>
      <c r="AD97" s="63"/>
      <c r="AE97" s="63"/>
    </row>
    <row r="98" spans="3:31">
      <c r="C98" s="63"/>
      <c r="D98" s="63"/>
      <c r="E98" s="63"/>
      <c r="F98" s="63"/>
      <c r="G98" s="63"/>
      <c r="H98" s="63"/>
      <c r="I98" s="63"/>
      <c r="J98" s="63"/>
      <c r="K98" s="63"/>
      <c r="L98" s="63"/>
      <c r="M98" s="63"/>
      <c r="N98" s="63"/>
      <c r="O98" s="63"/>
      <c r="P98" s="63"/>
      <c r="Q98" s="63"/>
      <c r="R98" s="63"/>
      <c r="S98" s="63"/>
      <c r="T98" s="63"/>
      <c r="Y98" s="63"/>
      <c r="Z98" s="63"/>
      <c r="AA98" s="63"/>
      <c r="AB98" s="63"/>
      <c r="AC98" s="63"/>
      <c r="AD98" s="63"/>
      <c r="AE98" s="63"/>
    </row>
    <row r="99" spans="3:31">
      <c r="C99" s="63"/>
      <c r="D99" s="63"/>
      <c r="E99" s="63"/>
      <c r="F99" s="63"/>
      <c r="G99" s="63"/>
      <c r="H99" s="63"/>
      <c r="I99" s="63"/>
      <c r="J99" s="63"/>
      <c r="K99" s="63"/>
      <c r="L99" s="63"/>
      <c r="M99" s="63"/>
      <c r="N99" s="63"/>
      <c r="O99" s="63"/>
      <c r="P99" s="63"/>
      <c r="Q99" s="63"/>
      <c r="R99" s="63"/>
      <c r="S99" s="63"/>
      <c r="T99" s="63"/>
      <c r="Y99" s="63"/>
      <c r="Z99" s="63"/>
      <c r="AA99" s="63"/>
      <c r="AB99" s="63"/>
      <c r="AC99" s="63"/>
      <c r="AD99" s="63"/>
      <c r="AE99" s="63"/>
    </row>
    <row r="100" spans="3:31">
      <c r="C100" s="63"/>
      <c r="D100" s="63"/>
      <c r="E100" s="63"/>
      <c r="F100" s="63"/>
      <c r="G100" s="63"/>
      <c r="H100" s="63"/>
      <c r="I100" s="63"/>
      <c r="J100" s="63"/>
      <c r="K100" s="63"/>
      <c r="L100" s="63"/>
      <c r="M100" s="63"/>
      <c r="N100" s="63"/>
      <c r="O100" s="63"/>
      <c r="P100" s="63"/>
      <c r="Q100" s="63"/>
      <c r="R100" s="63"/>
      <c r="S100" s="63"/>
      <c r="T100" s="63"/>
      <c r="Y100" s="63"/>
      <c r="Z100" s="63"/>
      <c r="AA100" s="63"/>
      <c r="AB100" s="63"/>
      <c r="AC100" s="63"/>
      <c r="AD100" s="63"/>
      <c r="AE100" s="63"/>
    </row>
    <row r="101" spans="3:31">
      <c r="C101" s="63"/>
      <c r="D101" s="63"/>
      <c r="E101" s="63"/>
      <c r="F101" s="63"/>
      <c r="G101" s="63"/>
      <c r="H101" s="63"/>
      <c r="I101" s="63"/>
      <c r="J101" s="63"/>
      <c r="K101" s="63"/>
      <c r="L101" s="63"/>
      <c r="M101" s="63"/>
      <c r="N101" s="63"/>
      <c r="O101" s="63"/>
      <c r="P101" s="63"/>
      <c r="Q101" s="63"/>
      <c r="R101" s="63"/>
      <c r="S101" s="63"/>
      <c r="T101" s="63"/>
      <c r="Y101" s="63"/>
      <c r="Z101" s="63"/>
      <c r="AA101" s="63"/>
      <c r="AB101" s="63"/>
      <c r="AC101" s="63"/>
      <c r="AD101" s="63"/>
      <c r="AE101" s="63"/>
    </row>
    <row r="102" spans="3:31">
      <c r="C102" s="63"/>
      <c r="D102" s="63"/>
      <c r="E102" s="63"/>
      <c r="F102" s="63"/>
      <c r="G102" s="63"/>
      <c r="H102" s="63"/>
      <c r="I102" s="63"/>
      <c r="J102" s="63"/>
      <c r="K102" s="63"/>
      <c r="L102" s="63"/>
      <c r="M102" s="63"/>
      <c r="N102" s="63"/>
      <c r="O102" s="63"/>
      <c r="P102" s="63"/>
      <c r="Q102" s="63"/>
      <c r="R102" s="63"/>
      <c r="S102" s="63"/>
      <c r="T102" s="63"/>
      <c r="Y102" s="63"/>
      <c r="Z102" s="63"/>
      <c r="AA102" s="63"/>
      <c r="AB102" s="63"/>
      <c r="AC102" s="63"/>
      <c r="AD102" s="63"/>
      <c r="AE102" s="63"/>
    </row>
    <row r="103" spans="3:31">
      <c r="C103" s="63"/>
      <c r="D103" s="63"/>
      <c r="E103" s="63"/>
      <c r="F103" s="63"/>
      <c r="G103" s="63"/>
      <c r="H103" s="63"/>
      <c r="I103" s="63"/>
      <c r="J103" s="63"/>
      <c r="K103" s="63"/>
      <c r="L103" s="63"/>
      <c r="M103" s="63"/>
      <c r="N103" s="63"/>
      <c r="O103" s="63"/>
      <c r="P103" s="63"/>
      <c r="Q103" s="63"/>
      <c r="R103" s="63"/>
      <c r="S103" s="63"/>
      <c r="T103" s="63"/>
      <c r="Y103" s="63"/>
      <c r="Z103" s="63"/>
      <c r="AA103" s="63"/>
      <c r="AB103" s="63"/>
      <c r="AC103" s="63"/>
      <c r="AD103" s="63"/>
      <c r="AE103" s="63"/>
    </row>
    <row r="104" spans="3:31">
      <c r="C104" s="63"/>
      <c r="D104" s="63"/>
      <c r="E104" s="63"/>
      <c r="F104" s="63"/>
      <c r="G104" s="63"/>
      <c r="H104" s="63"/>
      <c r="I104" s="63"/>
      <c r="J104" s="63"/>
      <c r="K104" s="63"/>
      <c r="L104" s="63"/>
      <c r="M104" s="63"/>
      <c r="N104" s="63"/>
      <c r="O104" s="63"/>
      <c r="P104" s="63"/>
      <c r="Q104" s="63"/>
      <c r="R104" s="63"/>
      <c r="S104" s="63"/>
      <c r="T104" s="63"/>
      <c r="Y104" s="63"/>
      <c r="Z104" s="63"/>
      <c r="AA104" s="63"/>
      <c r="AB104" s="63"/>
      <c r="AC104" s="63"/>
      <c r="AD104" s="63"/>
      <c r="AE104" s="63"/>
    </row>
    <row r="105" spans="3:31">
      <c r="C105" s="63"/>
      <c r="D105" s="63"/>
      <c r="E105" s="63"/>
      <c r="F105" s="63"/>
      <c r="G105" s="63"/>
      <c r="H105" s="63"/>
      <c r="I105" s="63"/>
      <c r="J105" s="63"/>
      <c r="K105" s="63"/>
      <c r="L105" s="63"/>
      <c r="M105" s="63"/>
      <c r="N105" s="63"/>
      <c r="O105" s="63"/>
      <c r="P105" s="63"/>
      <c r="Q105" s="63"/>
      <c r="R105" s="63"/>
      <c r="S105" s="63"/>
      <c r="T105" s="63"/>
      <c r="Y105" s="63"/>
      <c r="Z105" s="63"/>
      <c r="AA105" s="63"/>
      <c r="AB105" s="63"/>
      <c r="AC105" s="63"/>
      <c r="AD105" s="63"/>
      <c r="AE105" s="63"/>
    </row>
    <row r="106" spans="3:31">
      <c r="C106" s="63"/>
      <c r="D106" s="63"/>
      <c r="E106" s="63"/>
      <c r="F106" s="63"/>
      <c r="G106" s="63"/>
      <c r="H106" s="63"/>
      <c r="I106" s="63"/>
      <c r="J106" s="63"/>
      <c r="K106" s="63"/>
      <c r="L106" s="63"/>
      <c r="M106" s="63"/>
      <c r="N106" s="63"/>
      <c r="O106" s="63"/>
      <c r="P106" s="63"/>
      <c r="Q106" s="63"/>
      <c r="R106" s="63"/>
      <c r="S106" s="63"/>
      <c r="T106" s="63"/>
      <c r="Y106" s="63"/>
      <c r="Z106" s="63"/>
      <c r="AA106" s="63"/>
      <c r="AB106" s="63"/>
      <c r="AC106" s="63"/>
      <c r="AD106" s="63"/>
      <c r="AE106" s="63"/>
    </row>
    <row r="107" spans="3:31">
      <c r="C107" s="63"/>
      <c r="D107" s="63"/>
      <c r="E107" s="63"/>
      <c r="F107" s="63"/>
      <c r="G107" s="63"/>
      <c r="H107" s="63"/>
      <c r="I107" s="63"/>
      <c r="J107" s="63"/>
      <c r="K107" s="63"/>
      <c r="L107" s="63"/>
      <c r="M107" s="63"/>
      <c r="N107" s="63"/>
      <c r="O107" s="63"/>
      <c r="P107" s="63"/>
      <c r="Q107" s="63"/>
      <c r="R107" s="63"/>
      <c r="S107" s="63"/>
      <c r="T107" s="63"/>
      <c r="Y107" s="63"/>
      <c r="Z107" s="63"/>
      <c r="AA107" s="63"/>
      <c r="AB107" s="63"/>
      <c r="AC107" s="63"/>
      <c r="AD107" s="63"/>
      <c r="AE107" s="63"/>
    </row>
    <row r="108" spans="3:31">
      <c r="C108" s="63"/>
      <c r="D108" s="63"/>
      <c r="E108" s="63"/>
      <c r="F108" s="63"/>
      <c r="G108" s="63"/>
      <c r="H108" s="63"/>
      <c r="I108" s="63"/>
      <c r="J108" s="63"/>
      <c r="K108" s="63"/>
      <c r="L108" s="63"/>
      <c r="M108" s="63"/>
      <c r="N108" s="63"/>
      <c r="O108" s="63"/>
      <c r="P108" s="63"/>
      <c r="Q108" s="63"/>
      <c r="R108" s="63"/>
      <c r="S108" s="63"/>
      <c r="T108" s="63"/>
      <c r="Y108" s="63"/>
      <c r="Z108" s="63"/>
      <c r="AA108" s="63"/>
      <c r="AB108" s="63"/>
      <c r="AC108" s="63"/>
      <c r="AD108" s="63"/>
      <c r="AE108" s="63"/>
    </row>
    <row r="109" spans="3:31">
      <c r="C109" s="63"/>
      <c r="D109" s="63"/>
      <c r="E109" s="63"/>
      <c r="F109" s="63"/>
      <c r="G109" s="63"/>
      <c r="H109" s="63"/>
      <c r="I109" s="63"/>
      <c r="J109" s="63"/>
      <c r="K109" s="63"/>
      <c r="L109" s="63"/>
      <c r="M109" s="63"/>
      <c r="N109" s="63"/>
      <c r="O109" s="63"/>
      <c r="P109" s="63"/>
      <c r="Q109" s="63"/>
      <c r="R109" s="63"/>
      <c r="S109" s="63"/>
      <c r="T109" s="63"/>
      <c r="Y109" s="63"/>
      <c r="Z109" s="63"/>
      <c r="AA109" s="63"/>
      <c r="AB109" s="63"/>
      <c r="AC109" s="63"/>
      <c r="AD109" s="63"/>
      <c r="AE109" s="63"/>
    </row>
    <row r="110" spans="3:31">
      <c r="C110" s="63"/>
      <c r="D110" s="63"/>
      <c r="E110" s="63"/>
      <c r="F110" s="63"/>
      <c r="G110" s="63"/>
      <c r="H110" s="63"/>
      <c r="I110" s="63"/>
      <c r="J110" s="63"/>
      <c r="K110" s="63"/>
      <c r="L110" s="63"/>
      <c r="M110" s="63"/>
      <c r="N110" s="63"/>
      <c r="O110" s="63"/>
      <c r="P110" s="63"/>
      <c r="Q110" s="63"/>
      <c r="R110" s="63"/>
      <c r="S110" s="63"/>
      <c r="T110" s="63"/>
      <c r="Y110" s="63"/>
      <c r="Z110" s="63"/>
      <c r="AA110" s="63"/>
      <c r="AB110" s="63"/>
      <c r="AC110" s="63"/>
      <c r="AD110" s="63"/>
      <c r="AE110" s="63"/>
    </row>
    <row r="111" spans="3:31">
      <c r="C111" s="63"/>
      <c r="D111" s="63"/>
      <c r="E111" s="63"/>
      <c r="F111" s="63"/>
      <c r="G111" s="63"/>
      <c r="H111" s="63"/>
      <c r="I111" s="63"/>
      <c r="J111" s="63"/>
      <c r="K111" s="63"/>
      <c r="L111" s="63"/>
      <c r="M111" s="63"/>
      <c r="N111" s="63"/>
      <c r="O111" s="63"/>
      <c r="P111" s="63"/>
      <c r="Q111" s="63"/>
      <c r="R111" s="63"/>
      <c r="S111" s="63"/>
      <c r="T111" s="63"/>
      <c r="Y111" s="63"/>
      <c r="Z111" s="63"/>
      <c r="AA111" s="63"/>
      <c r="AB111" s="63"/>
      <c r="AC111" s="63"/>
      <c r="AD111" s="63"/>
      <c r="AE111" s="63"/>
    </row>
    <row r="112" spans="3:31">
      <c r="C112" s="63"/>
      <c r="D112" s="63"/>
      <c r="E112" s="63"/>
      <c r="F112" s="63"/>
      <c r="G112" s="63"/>
      <c r="H112" s="63"/>
      <c r="I112" s="63"/>
      <c r="J112" s="63"/>
      <c r="K112" s="63"/>
      <c r="L112" s="63"/>
      <c r="M112" s="63"/>
      <c r="N112" s="63"/>
      <c r="O112" s="63"/>
      <c r="P112" s="63"/>
      <c r="Q112" s="63"/>
      <c r="R112" s="63"/>
      <c r="S112" s="63"/>
      <c r="T112" s="63"/>
      <c r="Y112" s="63"/>
      <c r="Z112" s="63"/>
      <c r="AA112" s="63"/>
      <c r="AB112" s="63"/>
      <c r="AC112" s="63"/>
      <c r="AD112" s="63"/>
      <c r="AE112" s="63"/>
    </row>
    <row r="113" spans="3:31">
      <c r="C113" s="63"/>
      <c r="D113" s="63"/>
      <c r="E113" s="63"/>
      <c r="F113" s="63"/>
      <c r="G113" s="63"/>
      <c r="H113" s="63"/>
      <c r="I113" s="63"/>
      <c r="J113" s="63"/>
      <c r="K113" s="63"/>
      <c r="L113" s="63"/>
      <c r="M113" s="63"/>
      <c r="N113" s="63"/>
      <c r="O113" s="63"/>
      <c r="P113" s="63"/>
      <c r="Q113" s="63"/>
      <c r="R113" s="63"/>
      <c r="S113" s="63"/>
      <c r="T113" s="63"/>
      <c r="Y113" s="63"/>
      <c r="Z113" s="63"/>
      <c r="AA113" s="63"/>
      <c r="AB113" s="63"/>
      <c r="AC113" s="63"/>
      <c r="AD113" s="63"/>
      <c r="AE113" s="63"/>
    </row>
    <row r="114" spans="3:31">
      <c r="C114" s="63"/>
      <c r="D114" s="63"/>
      <c r="E114" s="63"/>
      <c r="F114" s="63"/>
      <c r="G114" s="63"/>
      <c r="H114" s="63"/>
      <c r="I114" s="63"/>
      <c r="J114" s="63"/>
      <c r="K114" s="63"/>
      <c r="L114" s="63"/>
      <c r="M114" s="63"/>
      <c r="N114" s="63"/>
      <c r="O114" s="63"/>
      <c r="P114" s="63"/>
      <c r="Q114" s="63"/>
      <c r="R114" s="63"/>
      <c r="S114" s="63"/>
      <c r="T114" s="63"/>
      <c r="Y114" s="63"/>
      <c r="Z114" s="63"/>
      <c r="AA114" s="63"/>
      <c r="AB114" s="63"/>
      <c r="AC114" s="63"/>
      <c r="AD114" s="63"/>
      <c r="AE114" s="63"/>
    </row>
    <row r="115" spans="3:31">
      <c r="C115" s="63"/>
      <c r="D115" s="63"/>
      <c r="E115" s="63"/>
      <c r="F115" s="63"/>
      <c r="G115" s="63"/>
      <c r="H115" s="63"/>
      <c r="I115" s="63"/>
      <c r="J115" s="63"/>
      <c r="K115" s="63"/>
      <c r="L115" s="63"/>
      <c r="M115" s="63"/>
      <c r="N115" s="63"/>
      <c r="O115" s="63"/>
      <c r="P115" s="63"/>
      <c r="Q115" s="63"/>
      <c r="R115" s="63"/>
      <c r="S115" s="63"/>
      <c r="T115" s="63"/>
      <c r="Y115" s="63"/>
      <c r="Z115" s="63"/>
      <c r="AA115" s="63"/>
      <c r="AB115" s="63"/>
      <c r="AC115" s="63"/>
      <c r="AD115" s="63"/>
      <c r="AE115" s="63"/>
    </row>
    <row r="116" spans="3:31">
      <c r="C116" s="63"/>
      <c r="D116" s="63"/>
      <c r="E116" s="63"/>
      <c r="F116" s="63"/>
      <c r="G116" s="63"/>
      <c r="H116" s="63"/>
      <c r="I116" s="63"/>
      <c r="J116" s="63"/>
      <c r="K116" s="63"/>
      <c r="L116" s="63"/>
      <c r="M116" s="63"/>
      <c r="N116" s="63"/>
      <c r="O116" s="63"/>
      <c r="P116" s="63"/>
      <c r="Q116" s="63"/>
      <c r="R116" s="63"/>
      <c r="S116" s="63"/>
      <c r="T116" s="63"/>
      <c r="Y116" s="63"/>
      <c r="Z116" s="63"/>
      <c r="AA116" s="63"/>
      <c r="AB116" s="63"/>
      <c r="AC116" s="63"/>
      <c r="AD116" s="63"/>
      <c r="AE116" s="63"/>
    </row>
    <row r="117" spans="3:31">
      <c r="C117" s="63"/>
      <c r="D117" s="63"/>
      <c r="E117" s="63"/>
      <c r="F117" s="63"/>
      <c r="G117" s="63"/>
      <c r="H117" s="63"/>
      <c r="I117" s="63"/>
      <c r="J117" s="63"/>
      <c r="K117" s="63"/>
      <c r="L117" s="63"/>
      <c r="M117" s="63"/>
      <c r="N117" s="63"/>
      <c r="O117" s="63"/>
      <c r="P117" s="63"/>
      <c r="Q117" s="63"/>
      <c r="R117" s="63"/>
      <c r="S117" s="63"/>
      <c r="T117" s="63"/>
      <c r="Y117" s="63"/>
      <c r="Z117" s="63"/>
      <c r="AA117" s="63"/>
      <c r="AB117" s="63"/>
      <c r="AC117" s="63"/>
      <c r="AD117" s="63"/>
      <c r="AE117" s="63"/>
    </row>
    <row r="118" spans="3:31">
      <c r="C118" s="63"/>
      <c r="D118" s="63"/>
      <c r="E118" s="63"/>
      <c r="F118" s="63"/>
      <c r="G118" s="63"/>
      <c r="H118" s="63"/>
      <c r="I118" s="63"/>
      <c r="J118" s="63"/>
      <c r="K118" s="63"/>
      <c r="L118" s="63"/>
      <c r="M118" s="63"/>
      <c r="N118" s="63"/>
      <c r="O118" s="63"/>
      <c r="P118" s="63"/>
      <c r="Q118" s="63"/>
      <c r="R118" s="63"/>
      <c r="S118" s="63"/>
      <c r="T118" s="63"/>
      <c r="Y118" s="63"/>
      <c r="Z118" s="63"/>
      <c r="AA118" s="63"/>
      <c r="AB118" s="63"/>
      <c r="AC118" s="63"/>
      <c r="AD118" s="63"/>
      <c r="AE118" s="63"/>
    </row>
    <row r="119" spans="3:31">
      <c r="C119" s="63"/>
      <c r="D119" s="63"/>
      <c r="E119" s="63"/>
      <c r="F119" s="63"/>
      <c r="G119" s="63"/>
      <c r="H119" s="63"/>
      <c r="I119" s="63"/>
      <c r="J119" s="63"/>
      <c r="K119" s="63"/>
      <c r="L119" s="63"/>
      <c r="M119" s="63"/>
      <c r="N119" s="63"/>
      <c r="O119" s="63"/>
      <c r="P119" s="63"/>
      <c r="Q119" s="63"/>
      <c r="R119" s="63"/>
      <c r="S119" s="63"/>
      <c r="T119" s="63"/>
      <c r="Y119" s="63"/>
      <c r="Z119" s="63"/>
      <c r="AA119" s="63"/>
      <c r="AB119" s="63"/>
      <c r="AC119" s="63"/>
      <c r="AD119" s="63"/>
      <c r="AE119" s="63"/>
    </row>
    <row r="120" spans="3:31">
      <c r="C120" s="63"/>
      <c r="D120" s="63"/>
      <c r="E120" s="63"/>
      <c r="F120" s="63"/>
      <c r="G120" s="63"/>
      <c r="H120" s="63"/>
      <c r="I120" s="63"/>
      <c r="J120" s="63"/>
      <c r="K120" s="63"/>
      <c r="L120" s="63"/>
      <c r="M120" s="63"/>
      <c r="N120" s="63"/>
      <c r="O120" s="63"/>
      <c r="P120" s="63"/>
      <c r="Q120" s="63"/>
      <c r="R120" s="63"/>
      <c r="S120" s="63"/>
      <c r="T120" s="63"/>
      <c r="Y120" s="63"/>
      <c r="Z120" s="63"/>
      <c r="AA120" s="63"/>
      <c r="AB120" s="63"/>
      <c r="AC120" s="63"/>
      <c r="AD120" s="63"/>
      <c r="AE120" s="63"/>
    </row>
    <row r="121" spans="3:31">
      <c r="C121" s="63"/>
      <c r="D121" s="63"/>
      <c r="E121" s="63"/>
      <c r="F121" s="63"/>
      <c r="G121" s="63"/>
      <c r="H121" s="63"/>
      <c r="I121" s="63"/>
      <c r="J121" s="63"/>
      <c r="K121" s="63"/>
      <c r="L121" s="63"/>
      <c r="M121" s="63"/>
      <c r="N121" s="63"/>
      <c r="O121" s="63"/>
      <c r="P121" s="63"/>
      <c r="Q121" s="63"/>
      <c r="R121" s="63"/>
      <c r="S121" s="63"/>
      <c r="T121" s="63"/>
      <c r="Y121" s="63"/>
      <c r="Z121" s="63"/>
      <c r="AA121" s="63"/>
      <c r="AB121" s="63"/>
      <c r="AC121" s="63"/>
      <c r="AD121" s="63"/>
      <c r="AE121" s="63"/>
    </row>
    <row r="122" spans="3:31">
      <c r="C122" s="63"/>
      <c r="D122" s="63"/>
      <c r="E122" s="63"/>
      <c r="F122" s="63"/>
      <c r="G122" s="63"/>
      <c r="H122" s="63"/>
      <c r="I122" s="63"/>
      <c r="J122" s="63"/>
      <c r="K122" s="63"/>
      <c r="L122" s="63"/>
      <c r="M122" s="63"/>
      <c r="N122" s="63"/>
      <c r="O122" s="63"/>
      <c r="P122" s="63"/>
      <c r="Q122" s="63"/>
      <c r="R122" s="63"/>
      <c r="S122" s="63"/>
      <c r="T122" s="63"/>
      <c r="Y122" s="63"/>
      <c r="Z122" s="63"/>
      <c r="AA122" s="63"/>
      <c r="AB122" s="63"/>
      <c r="AC122" s="63"/>
      <c r="AD122" s="63"/>
      <c r="AE122" s="63"/>
    </row>
    <row r="123" spans="3:31">
      <c r="C123" s="63"/>
      <c r="D123" s="63"/>
      <c r="E123" s="63"/>
      <c r="F123" s="63"/>
      <c r="G123" s="63"/>
      <c r="H123" s="63"/>
      <c r="I123" s="63"/>
      <c r="J123" s="63"/>
      <c r="K123" s="63"/>
      <c r="L123" s="63"/>
      <c r="M123" s="63"/>
      <c r="N123" s="63"/>
      <c r="O123" s="63"/>
      <c r="P123" s="63"/>
      <c r="Q123" s="63"/>
      <c r="R123" s="63"/>
      <c r="S123" s="63"/>
      <c r="T123" s="63"/>
      <c r="Y123" s="63"/>
      <c r="Z123" s="63"/>
      <c r="AA123" s="63"/>
      <c r="AB123" s="63"/>
      <c r="AC123" s="63"/>
      <c r="AD123" s="63"/>
      <c r="AE123" s="63"/>
    </row>
    <row r="124" spans="3:31">
      <c r="C124" s="63"/>
      <c r="D124" s="63"/>
      <c r="E124" s="63"/>
      <c r="F124" s="63"/>
      <c r="G124" s="63"/>
      <c r="H124" s="63"/>
      <c r="I124" s="63"/>
      <c r="J124" s="63"/>
      <c r="K124" s="63"/>
      <c r="L124" s="63"/>
      <c r="M124" s="63"/>
      <c r="N124" s="63"/>
      <c r="O124" s="63"/>
      <c r="P124" s="63"/>
      <c r="Q124" s="63"/>
      <c r="R124" s="63"/>
      <c r="S124" s="63"/>
      <c r="T124" s="63"/>
      <c r="Y124" s="63"/>
      <c r="Z124" s="63"/>
      <c r="AA124" s="63"/>
      <c r="AB124" s="63"/>
      <c r="AC124" s="63"/>
      <c r="AD124" s="63"/>
      <c r="AE124" s="63"/>
    </row>
    <row r="125" spans="3:31">
      <c r="C125" s="63"/>
      <c r="D125" s="63"/>
      <c r="E125" s="63"/>
      <c r="F125" s="63"/>
      <c r="G125" s="63"/>
      <c r="H125" s="63"/>
      <c r="I125" s="63"/>
      <c r="J125" s="63"/>
      <c r="K125" s="63"/>
      <c r="L125" s="63"/>
      <c r="M125" s="63"/>
      <c r="N125" s="63"/>
      <c r="O125" s="63"/>
      <c r="P125" s="63"/>
      <c r="Q125" s="63"/>
      <c r="R125" s="63"/>
      <c r="S125" s="63"/>
      <c r="T125" s="63"/>
      <c r="Y125" s="63"/>
      <c r="Z125" s="63"/>
      <c r="AA125" s="63"/>
      <c r="AB125" s="63"/>
      <c r="AC125" s="63"/>
      <c r="AD125" s="63"/>
      <c r="AE125" s="63"/>
    </row>
    <row r="126" spans="3:31">
      <c r="C126" s="63"/>
      <c r="D126" s="63"/>
      <c r="E126" s="63"/>
      <c r="F126" s="63"/>
      <c r="G126" s="63"/>
      <c r="H126" s="63"/>
      <c r="I126" s="63"/>
      <c r="J126" s="63"/>
      <c r="K126" s="63"/>
      <c r="L126" s="63"/>
      <c r="M126" s="63"/>
      <c r="N126" s="63"/>
      <c r="O126" s="63"/>
      <c r="P126" s="63"/>
      <c r="Q126" s="63"/>
      <c r="R126" s="63"/>
      <c r="S126" s="63"/>
      <c r="T126" s="63"/>
      <c r="Y126" s="63"/>
      <c r="Z126" s="63"/>
      <c r="AA126" s="63"/>
      <c r="AB126" s="63"/>
      <c r="AC126" s="63"/>
      <c r="AD126" s="63"/>
      <c r="AE126" s="63"/>
    </row>
    <row r="127" spans="3:31">
      <c r="C127" s="63"/>
      <c r="D127" s="63"/>
      <c r="E127" s="63"/>
      <c r="F127" s="63"/>
      <c r="G127" s="63"/>
      <c r="H127" s="63"/>
      <c r="I127" s="63"/>
      <c r="J127" s="63"/>
      <c r="K127" s="63"/>
      <c r="L127" s="63"/>
      <c r="M127" s="63"/>
      <c r="N127" s="63"/>
      <c r="O127" s="63"/>
      <c r="P127" s="63"/>
      <c r="Q127" s="63"/>
      <c r="R127" s="63"/>
      <c r="S127" s="63"/>
      <c r="T127" s="63"/>
      <c r="Y127" s="63"/>
      <c r="Z127" s="63"/>
      <c r="AA127" s="63"/>
      <c r="AB127" s="63"/>
      <c r="AC127" s="63"/>
      <c r="AD127" s="63"/>
      <c r="AE127" s="63"/>
    </row>
    <row r="128" spans="3:31">
      <c r="C128" s="63"/>
      <c r="D128" s="63"/>
      <c r="E128" s="63"/>
      <c r="F128" s="63"/>
      <c r="G128" s="63"/>
      <c r="H128" s="63"/>
      <c r="I128" s="63"/>
      <c r="J128" s="63"/>
      <c r="K128" s="63"/>
      <c r="L128" s="63"/>
      <c r="M128" s="63"/>
      <c r="N128" s="63"/>
      <c r="O128" s="63"/>
      <c r="P128" s="63"/>
      <c r="Q128" s="63"/>
      <c r="R128" s="63"/>
      <c r="S128" s="63"/>
      <c r="T128" s="63"/>
      <c r="Y128" s="63"/>
      <c r="Z128" s="63"/>
      <c r="AA128" s="63"/>
      <c r="AB128" s="63"/>
      <c r="AC128" s="63"/>
      <c r="AD128" s="63"/>
      <c r="AE128" s="63"/>
    </row>
    <row r="129" spans="3:31">
      <c r="C129" s="63"/>
      <c r="D129" s="63"/>
      <c r="E129" s="63"/>
      <c r="F129" s="63"/>
      <c r="G129" s="63"/>
      <c r="H129" s="63"/>
      <c r="I129" s="63"/>
      <c r="J129" s="63"/>
      <c r="K129" s="63"/>
      <c r="L129" s="63"/>
      <c r="M129" s="63"/>
      <c r="N129" s="63"/>
      <c r="O129" s="63"/>
      <c r="P129" s="63"/>
      <c r="Q129" s="63"/>
      <c r="R129" s="63"/>
      <c r="S129" s="63"/>
      <c r="T129" s="63"/>
      <c r="Y129" s="63"/>
      <c r="Z129" s="63"/>
      <c r="AA129" s="63"/>
      <c r="AB129" s="63"/>
      <c r="AC129" s="63"/>
      <c r="AD129" s="63"/>
      <c r="AE129" s="63"/>
    </row>
    <row r="130" spans="3:31">
      <c r="C130" s="63"/>
      <c r="D130" s="63"/>
      <c r="E130" s="63"/>
      <c r="F130" s="63"/>
      <c r="G130" s="63"/>
      <c r="H130" s="63"/>
      <c r="I130" s="63"/>
      <c r="J130" s="63"/>
      <c r="K130" s="63"/>
      <c r="L130" s="63"/>
      <c r="M130" s="63"/>
      <c r="N130" s="63"/>
      <c r="O130" s="63"/>
      <c r="P130" s="63"/>
      <c r="Q130" s="63"/>
      <c r="R130" s="63"/>
      <c r="S130" s="63"/>
      <c r="T130" s="63"/>
      <c r="Y130" s="63"/>
      <c r="Z130" s="63"/>
      <c r="AA130" s="63"/>
      <c r="AB130" s="63"/>
      <c r="AC130" s="63"/>
      <c r="AD130" s="63"/>
      <c r="AE130" s="63"/>
    </row>
    <row r="131" spans="3:31">
      <c r="C131" s="63"/>
      <c r="D131" s="63"/>
      <c r="E131" s="63"/>
      <c r="F131" s="63"/>
      <c r="G131" s="63"/>
      <c r="H131" s="63"/>
      <c r="I131" s="63"/>
      <c r="J131" s="63"/>
      <c r="K131" s="63"/>
      <c r="L131" s="63"/>
      <c r="M131" s="63"/>
      <c r="N131" s="63"/>
      <c r="O131" s="63"/>
      <c r="P131" s="63"/>
      <c r="Q131" s="63"/>
      <c r="R131" s="63"/>
      <c r="S131" s="63"/>
      <c r="T131" s="63"/>
      <c r="Y131" s="63"/>
      <c r="Z131" s="63"/>
      <c r="AA131" s="63"/>
      <c r="AB131" s="63"/>
      <c r="AC131" s="63"/>
      <c r="AD131" s="63"/>
      <c r="AE131" s="63"/>
    </row>
    <row r="132" spans="3:31">
      <c r="C132" s="63"/>
      <c r="D132" s="63"/>
      <c r="E132" s="63"/>
      <c r="F132" s="63"/>
      <c r="G132" s="63"/>
      <c r="H132" s="63"/>
      <c r="I132" s="63"/>
      <c r="J132" s="63"/>
      <c r="K132" s="63"/>
      <c r="L132" s="63"/>
      <c r="M132" s="63"/>
      <c r="N132" s="63"/>
      <c r="O132" s="63"/>
      <c r="P132" s="63"/>
      <c r="Q132" s="63"/>
      <c r="R132" s="63"/>
      <c r="S132" s="63"/>
      <c r="T132" s="63"/>
      <c r="Y132" s="63"/>
      <c r="Z132" s="63"/>
      <c r="AA132" s="63"/>
      <c r="AB132" s="63"/>
      <c r="AC132" s="63"/>
      <c r="AD132" s="63"/>
      <c r="AE132" s="63"/>
    </row>
    <row r="133" spans="3:31">
      <c r="C133" s="63"/>
      <c r="D133" s="63"/>
      <c r="E133" s="63"/>
      <c r="F133" s="63"/>
      <c r="G133" s="63"/>
      <c r="H133" s="63"/>
      <c r="I133" s="63"/>
      <c r="J133" s="63"/>
      <c r="K133" s="63"/>
      <c r="L133" s="63"/>
      <c r="M133" s="63"/>
      <c r="N133" s="63"/>
      <c r="O133" s="63"/>
      <c r="P133" s="63"/>
      <c r="Q133" s="63"/>
      <c r="R133" s="63"/>
      <c r="S133" s="63"/>
      <c r="T133" s="63"/>
      <c r="Y133" s="63"/>
      <c r="Z133" s="63"/>
      <c r="AA133" s="63"/>
      <c r="AB133" s="63"/>
      <c r="AC133" s="63"/>
      <c r="AD133" s="63"/>
      <c r="AE133" s="63"/>
    </row>
    <row r="134" spans="3:31">
      <c r="C134" s="63"/>
      <c r="D134" s="63"/>
      <c r="E134" s="63"/>
      <c r="F134" s="63"/>
      <c r="G134" s="63"/>
      <c r="H134" s="63"/>
      <c r="I134" s="63"/>
      <c r="J134" s="63"/>
      <c r="K134" s="63"/>
      <c r="L134" s="63"/>
      <c r="M134" s="63"/>
      <c r="N134" s="63"/>
      <c r="O134" s="63"/>
      <c r="P134" s="63"/>
      <c r="Q134" s="63"/>
      <c r="R134" s="63"/>
      <c r="S134" s="63"/>
      <c r="T134" s="63"/>
      <c r="Y134" s="63"/>
      <c r="Z134" s="63"/>
      <c r="AA134" s="63"/>
      <c r="AB134" s="63"/>
      <c r="AC134" s="63"/>
      <c r="AD134" s="63"/>
      <c r="AE134" s="63"/>
    </row>
  </sheetData>
  <sheetProtection password="EAD7" sheet="1" objects="1" scenarios="1"/>
  <mergeCells count="97">
    <mergeCell ref="Y62:Z62"/>
    <mergeCell ref="Y63:Z63"/>
    <mergeCell ref="Y65:Z65"/>
    <mergeCell ref="Y66:Z66"/>
    <mergeCell ref="Y67:Z67"/>
    <mergeCell ref="Y44:AA44"/>
    <mergeCell ref="AB44:AC44"/>
    <mergeCell ref="AD44:AE44"/>
    <mergeCell ref="AF44:AG44"/>
    <mergeCell ref="Y45:AA45"/>
    <mergeCell ref="AB45:AC46"/>
    <mergeCell ref="AD45:AE46"/>
    <mergeCell ref="AF45:AG46"/>
    <mergeCell ref="Y46:AA46"/>
    <mergeCell ref="Y35:AA35"/>
    <mergeCell ref="AB41:AC41"/>
    <mergeCell ref="AD41:AE41"/>
    <mergeCell ref="AF41:AG41"/>
    <mergeCell ref="Y42:AA43"/>
    <mergeCell ref="AB42:AC42"/>
    <mergeCell ref="AD42:AE42"/>
    <mergeCell ref="AF42:AG42"/>
    <mergeCell ref="AB43:AC43"/>
    <mergeCell ref="AD43:AE43"/>
    <mergeCell ref="AF43:AG43"/>
    <mergeCell ref="Y8:AA10"/>
    <mergeCell ref="AB9:AC9"/>
    <mergeCell ref="AD9:AE9"/>
    <mergeCell ref="AF9:AG9"/>
    <mergeCell ref="Y29:AA29"/>
    <mergeCell ref="A58:A68"/>
    <mergeCell ref="A35:A43"/>
    <mergeCell ref="E2:G2"/>
    <mergeCell ref="I2:K2"/>
    <mergeCell ref="E73:I73"/>
    <mergeCell ref="J73:K73"/>
    <mergeCell ref="C45:E45"/>
    <mergeCell ref="C35:E35"/>
    <mergeCell ref="C44:E44"/>
    <mergeCell ref="C62:D62"/>
    <mergeCell ref="C67:D67"/>
    <mergeCell ref="F41:G41"/>
    <mergeCell ref="H41:I41"/>
    <mergeCell ref="H43:I43"/>
    <mergeCell ref="C63:D63"/>
    <mergeCell ref="C65:D65"/>
    <mergeCell ref="C46:E46"/>
    <mergeCell ref="C8:E10"/>
    <mergeCell ref="F43:G43"/>
    <mergeCell ref="F9:G9"/>
    <mergeCell ref="C29:E29"/>
    <mergeCell ref="Q9:R9"/>
    <mergeCell ref="S9:T9"/>
    <mergeCell ref="U9:V9"/>
    <mergeCell ref="N29:P29"/>
    <mergeCell ref="J45:K46"/>
    <mergeCell ref="J9:K9"/>
    <mergeCell ref="J42:K42"/>
    <mergeCell ref="J44:K44"/>
    <mergeCell ref="J41:K41"/>
    <mergeCell ref="J43:K43"/>
    <mergeCell ref="Q41:R41"/>
    <mergeCell ref="S41:T41"/>
    <mergeCell ref="U41:V41"/>
    <mergeCell ref="N42:P43"/>
    <mergeCell ref="Q42:R42"/>
    <mergeCell ref="S42:T42"/>
    <mergeCell ref="U42:V42"/>
    <mergeCell ref="Q43:R43"/>
    <mergeCell ref="S43:T43"/>
    <mergeCell ref="U43:V43"/>
    <mergeCell ref="N67:O67"/>
    <mergeCell ref="N44:P44"/>
    <mergeCell ref="Q44:R44"/>
    <mergeCell ref="S44:T44"/>
    <mergeCell ref="U44:V44"/>
    <mergeCell ref="N45:P45"/>
    <mergeCell ref="Q45:R46"/>
    <mergeCell ref="S45:T46"/>
    <mergeCell ref="U45:V46"/>
    <mergeCell ref="N46:P46"/>
    <mergeCell ref="A2:A7"/>
    <mergeCell ref="N62:O62"/>
    <mergeCell ref="N63:O63"/>
    <mergeCell ref="N65:O65"/>
    <mergeCell ref="N66:O66"/>
    <mergeCell ref="N35:P35"/>
    <mergeCell ref="N8:P10"/>
    <mergeCell ref="F45:G46"/>
    <mergeCell ref="H45:I46"/>
    <mergeCell ref="H9:I9"/>
    <mergeCell ref="F44:G44"/>
    <mergeCell ref="H42:I42"/>
    <mergeCell ref="H44:I44"/>
    <mergeCell ref="F42:G42"/>
    <mergeCell ref="C66:D66"/>
    <mergeCell ref="C42:E43"/>
  </mergeCells>
  <conditionalFormatting sqref="E56">
    <cfRule type="cellIs" dxfId="2" priority="3" stopIfTrue="1" operator="greaterThan">
      <formula>300</formula>
    </cfRule>
  </conditionalFormatting>
  <conditionalFormatting sqref="P56">
    <cfRule type="cellIs" dxfId="1" priority="2" stopIfTrue="1" operator="greaterThan">
      <formula>300</formula>
    </cfRule>
  </conditionalFormatting>
  <conditionalFormatting sqref="AA56">
    <cfRule type="cellIs" dxfId="0" priority="1" stopIfTrue="1" operator="greaterThan">
      <formula>300</formula>
    </cfRule>
  </conditionalFormatting>
  <hyperlinks>
    <hyperlink ref="I2" location="Startseite!C7" display="zurück zur Startseite" xr:uid="{00000000-0004-0000-0B00-000000000000}"/>
    <hyperlink ref="E2" location="Rentabilität!B8" display="zur Rentabilitätsberechnung" xr:uid="{00000000-0004-0000-0B00-000001000000}"/>
    <hyperlink ref="E2:G2" location="Rentabilität!D11" display="zur Rentabilitätsberechnung" xr:uid="{00000000-0004-0000-0B00-000002000000}"/>
  </hyperlinks>
  <printOptions horizontalCentered="1"/>
  <pageMargins left="0.78740157480314965" right="0.11811023622047245" top="0.39370078740157483" bottom="0" header="0.51181102362204722" footer="0.51181102362204722"/>
  <pageSetup paperSize="9" scale="60" firstPageNumber="6" orientation="landscape" blackAndWhite="1" useFirstPageNumber="1" horizontalDpi="1200" verticalDpi="1200" r:id="rId1"/>
  <headerFooter alignWithMargins="0">
    <oddFooter>&amp;L&amp;D&amp;RCopyright: Handwerkskammer Düsseldorf</oddFooter>
  </headerFooter>
  <colBreaks count="2" manualBreakCount="2">
    <brk id="13" min="4" max="68" man="1"/>
    <brk id="24" min="4" max="68"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5" tint="0.79998168889431442"/>
    <pageSetUpPr autoPageBreaks="0"/>
  </sheetPr>
  <dimension ref="A2:AE305"/>
  <sheetViews>
    <sheetView showGridLines="0" zoomScale="85" zoomScaleNormal="85" zoomScalePageLayoutView="40" workbookViewId="0">
      <selection activeCell="H19" sqref="H19"/>
    </sheetView>
  </sheetViews>
  <sheetFormatPr baseColWidth="10" defaultColWidth="11.44140625" defaultRowHeight="13.2"/>
  <cols>
    <col min="1" max="1" width="46.44140625" style="2" customWidth="1"/>
    <col min="2" max="2" width="5.33203125" style="2" customWidth="1"/>
    <col min="3" max="3" width="8.44140625" style="2" customWidth="1"/>
    <col min="4" max="4" width="12.5546875" style="2" customWidth="1"/>
    <col min="5" max="5" width="8.6640625" style="2" customWidth="1"/>
    <col min="6" max="6" width="16.109375" style="2" customWidth="1"/>
    <col min="7" max="7" width="8.33203125" style="2" customWidth="1"/>
    <col min="8" max="8" width="11.109375" style="2" customWidth="1"/>
    <col min="9" max="9" width="10.5546875" style="2" customWidth="1"/>
    <col min="10" max="10" width="5.6640625" style="2" customWidth="1"/>
    <col min="11" max="11" width="10.5546875" style="2" customWidth="1"/>
    <col min="12" max="12" width="6.33203125" style="2" customWidth="1"/>
    <col min="13" max="13" width="13.6640625" style="2" customWidth="1"/>
    <col min="14" max="14" width="16" style="2" customWidth="1"/>
    <col min="15" max="15" width="5.6640625" style="2" customWidth="1"/>
    <col min="16" max="16" width="11.6640625" style="2" customWidth="1"/>
    <col min="17" max="17" width="6" style="2" customWidth="1"/>
    <col min="18" max="18" width="23.6640625" style="2" customWidth="1"/>
    <col min="19" max="16384" width="11.44140625" style="2"/>
  </cols>
  <sheetData>
    <row r="2" spans="1:31">
      <c r="C2" s="1146" t="s">
        <v>503</v>
      </c>
      <c r="D2" s="1151"/>
      <c r="E2" s="1147"/>
      <c r="G2" s="1286" t="s">
        <v>502</v>
      </c>
      <c r="H2" s="1287"/>
      <c r="I2" s="1288"/>
    </row>
    <row r="4" spans="1:31" ht="23.25" customHeight="1">
      <c r="A4" s="112" t="str">
        <f xml:space="preserve"> CONCATENATE( "Mindesumsatz und Umsatzplanungen des Unternehmens:  ", Startseite!C14)</f>
        <v xml:space="preserve">Mindesumsatz und Umsatzplanungen des Unternehmens:  </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7.399999999999999">
      <c r="A5" s="112"/>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row>
    <row r="6" spans="1:31" ht="17.399999999999999">
      <c r="A6" s="448" t="s">
        <v>223</v>
      </c>
      <c r="B6" s="132"/>
      <c r="C6" s="132"/>
      <c r="D6" s="132"/>
      <c r="E6" s="346"/>
      <c r="F6" s="63"/>
      <c r="G6" s="63"/>
      <c r="H6" s="63"/>
      <c r="I6" s="63"/>
      <c r="J6" s="120"/>
      <c r="K6" s="449"/>
      <c r="L6" s="450"/>
      <c r="M6" s="450"/>
      <c r="N6" s="450"/>
      <c r="O6" s="450"/>
      <c r="P6" s="451"/>
      <c r="Q6" s="63"/>
      <c r="R6" s="261"/>
      <c r="S6" s="261"/>
      <c r="T6" s="261"/>
      <c r="U6" s="261"/>
      <c r="V6" s="63"/>
      <c r="W6" s="63"/>
      <c r="X6" s="63"/>
      <c r="Y6" s="63"/>
      <c r="Z6" s="63"/>
      <c r="AA6" s="63"/>
      <c r="AB6" s="63"/>
      <c r="AC6" s="63"/>
      <c r="AD6" s="63"/>
      <c r="AE6" s="63"/>
    </row>
    <row r="7" spans="1:31" ht="17.399999999999999">
      <c r="A7" s="64"/>
      <c r="B7" s="132"/>
      <c r="C7" s="132"/>
      <c r="D7" s="132"/>
      <c r="E7" s="346"/>
      <c r="F7" s="63"/>
      <c r="G7" s="63"/>
      <c r="H7" s="63"/>
      <c r="I7" s="63"/>
      <c r="J7" s="63"/>
      <c r="K7" s="452" t="s">
        <v>238</v>
      </c>
      <c r="L7" s="120"/>
      <c r="M7" s="120"/>
      <c r="N7" s="120"/>
      <c r="O7" s="120"/>
      <c r="P7" s="453"/>
      <c r="Q7" s="63"/>
      <c r="S7" s="261"/>
      <c r="T7" s="261"/>
      <c r="U7" s="261"/>
      <c r="V7" s="63"/>
      <c r="W7" s="63"/>
      <c r="X7" s="63"/>
      <c r="Y7" s="63"/>
      <c r="Z7" s="63"/>
      <c r="AA7" s="63"/>
      <c r="AB7" s="63"/>
      <c r="AC7" s="63"/>
      <c r="AD7" s="63"/>
      <c r="AE7" s="63"/>
    </row>
    <row r="8" spans="1:31">
      <c r="A8" s="196" t="s">
        <v>124</v>
      </c>
      <c r="B8" s="63"/>
      <c r="C8" s="63"/>
      <c r="D8" s="63"/>
      <c r="E8" s="63"/>
      <c r="F8" s="63"/>
      <c r="G8" s="63"/>
      <c r="H8" s="63"/>
      <c r="I8" s="69"/>
      <c r="J8" s="120"/>
      <c r="K8" s="208"/>
      <c r="L8" s="120"/>
      <c r="M8" s="120"/>
      <c r="N8" s="120"/>
      <c r="O8" s="120"/>
      <c r="P8" s="453"/>
      <c r="Q8" s="63"/>
      <c r="R8" s="262"/>
      <c r="S8" s="261"/>
      <c r="T8" s="261"/>
      <c r="U8" s="261"/>
      <c r="V8" s="63"/>
      <c r="W8" s="63"/>
      <c r="X8" s="63"/>
      <c r="Y8" s="63"/>
      <c r="Z8" s="63"/>
      <c r="AA8" s="63"/>
      <c r="AB8" s="63"/>
      <c r="AC8" s="63"/>
      <c r="AD8" s="63"/>
      <c r="AE8" s="63"/>
    </row>
    <row r="9" spans="1:31">
      <c r="A9" s="347"/>
      <c r="B9" s="454"/>
      <c r="C9" s="455"/>
      <c r="D9" s="375" t="s">
        <v>22</v>
      </c>
      <c r="E9" s="374"/>
      <c r="F9" s="375" t="s">
        <v>23</v>
      </c>
      <c r="G9" s="374"/>
      <c r="H9" s="375" t="s">
        <v>24</v>
      </c>
      <c r="I9" s="456"/>
      <c r="J9" s="208"/>
      <c r="K9" s="457" t="s">
        <v>242</v>
      </c>
      <c r="L9" s="1289" t="s">
        <v>505</v>
      </c>
      <c r="M9" s="1290"/>
      <c r="N9" s="123" t="s">
        <v>239</v>
      </c>
      <c r="O9" s="120"/>
      <c r="P9" s="453"/>
      <c r="Q9" s="63"/>
      <c r="S9" s="261"/>
      <c r="T9" s="261"/>
      <c r="U9" s="261"/>
      <c r="V9" s="63"/>
      <c r="W9" s="63"/>
      <c r="X9" s="63"/>
      <c r="Y9" s="63"/>
      <c r="Z9" s="63"/>
      <c r="AA9" s="63"/>
      <c r="AB9" s="63"/>
      <c r="AC9" s="63"/>
      <c r="AD9" s="63"/>
      <c r="AE9" s="63"/>
    </row>
    <row r="10" spans="1:31">
      <c r="A10" s="351" t="s">
        <v>0</v>
      </c>
      <c r="B10" s="119"/>
      <c r="C10" s="162"/>
      <c r="D10" s="353" t="s">
        <v>29</v>
      </c>
      <c r="E10" s="458" t="s">
        <v>1</v>
      </c>
      <c r="F10" s="353" t="s">
        <v>29</v>
      </c>
      <c r="G10" s="458" t="s">
        <v>1</v>
      </c>
      <c r="H10" s="459" t="s">
        <v>29</v>
      </c>
      <c r="I10" s="353" t="s">
        <v>1</v>
      </c>
      <c r="J10" s="92"/>
      <c r="K10" s="457"/>
      <c r="L10" s="1291"/>
      <c r="M10" s="1292"/>
      <c r="N10" s="123" t="s">
        <v>240</v>
      </c>
      <c r="O10" s="120"/>
      <c r="P10" s="453"/>
      <c r="Q10" s="63"/>
      <c r="R10" s="63"/>
      <c r="S10" s="63"/>
      <c r="T10" s="63"/>
      <c r="U10" s="63"/>
      <c r="V10" s="63"/>
      <c r="W10" s="63"/>
      <c r="X10" s="63"/>
      <c r="Y10" s="63"/>
      <c r="Z10" s="63"/>
      <c r="AA10" s="63"/>
      <c r="AB10" s="63"/>
      <c r="AC10" s="63"/>
      <c r="AD10" s="63"/>
      <c r="AE10" s="63"/>
    </row>
    <row r="11" spans="1:31">
      <c r="A11" s="354"/>
      <c r="B11" s="460"/>
      <c r="C11" s="461"/>
      <c r="D11" s="377"/>
      <c r="E11" s="221"/>
      <c r="F11" s="377"/>
      <c r="G11" s="221"/>
      <c r="H11" s="377"/>
      <c r="I11" s="378"/>
      <c r="J11" s="208"/>
      <c r="K11" s="457"/>
      <c r="L11" s="120"/>
      <c r="M11" s="120"/>
      <c r="N11" s="63"/>
      <c r="O11" s="120"/>
      <c r="P11" s="453"/>
      <c r="Q11" s="63"/>
      <c r="R11" s="63"/>
      <c r="S11" s="63"/>
      <c r="T11" s="63"/>
      <c r="U11" s="63"/>
      <c r="V11" s="63"/>
      <c r="W11" s="63"/>
      <c r="X11" s="63"/>
      <c r="Y11" s="63"/>
      <c r="Z11" s="63"/>
      <c r="AA11" s="63"/>
      <c r="AB11" s="63"/>
      <c r="AC11" s="63"/>
      <c r="AD11" s="63"/>
      <c r="AE11" s="63"/>
    </row>
    <row r="12" spans="1:31">
      <c r="A12" s="462" t="s">
        <v>488</v>
      </c>
      <c r="B12" s="454"/>
      <c r="C12" s="455"/>
      <c r="D12" s="164">
        <f>IF(Startseite!$A50&gt;=8,0,IF(Unternehmerlohn!F45+Unternehmerlohn!Q45+Unternehmerlohn!AB45&gt;=Unternehmerlohn!F37+Unternehmerlohn!Q37+Unternehmerlohn!AB37,Unternehmerlohn!F45+Unternehmerlohn!Q45+Unternehmerlohn!AB45,Unternehmerlohn!F37-Unternehmerlohn!F44+Unternehmerlohn!Q37-Unternehmerlohn!Q44+Unternehmerlohn!AB37-Unternehmerlohn!AB44))</f>
        <v>0</v>
      </c>
      <c r="E12" s="463" t="str">
        <f>IF(D$16=0,"",(D12/D$19*100))</f>
        <v/>
      </c>
      <c r="F12" s="164">
        <f>IF(Startseite!$A50&gt;=8,0,IF(Unternehmerlohn!H45+Unternehmerlohn!S45+Unternehmerlohn!AD45&gt;=Unternehmerlohn!H37+Unternehmerlohn!S37+Unternehmerlohn!AD37,Unternehmerlohn!H45+Unternehmerlohn!S45+Unternehmerlohn!AD45,Unternehmerlohn!H37-Unternehmerlohn!H44+Unternehmerlohn!S37-Unternehmerlohn!S44+Unternehmerlohn!AD37-Unternehmerlohn!AD44))</f>
        <v>0</v>
      </c>
      <c r="G12" s="463" t="str">
        <f>IF(F$16=0,"",(F12/F$19*100))</f>
        <v/>
      </c>
      <c r="H12" s="164">
        <f>IF(Startseite!$A50&gt;=8,0,IF(Unternehmerlohn!J45+Unternehmerlohn!U45+Unternehmerlohn!AF45&gt;=Unternehmerlohn!J37+Unternehmerlohn!U37+Unternehmerlohn!AF37,Unternehmerlohn!J45+Unternehmerlohn!U45+Unternehmerlohn!AF45,Unternehmerlohn!J37-Unternehmerlohn!J44+Unternehmerlohn!U37-Unternehmerlohn!U44+Unternehmerlohn!AF37-Unternehmerlohn!AF44))</f>
        <v>0</v>
      </c>
      <c r="I12" s="463" t="str">
        <f>IF(H$16=0,"",(H12/H$19*100))</f>
        <v/>
      </c>
      <c r="J12" s="120"/>
      <c r="K12" s="457"/>
      <c r="L12" s="120"/>
      <c r="M12" s="120"/>
      <c r="N12" s="120"/>
      <c r="O12" s="120"/>
      <c r="P12" s="453"/>
      <c r="Q12" s="63"/>
      <c r="S12" s="63"/>
      <c r="T12" s="63"/>
      <c r="U12" s="63"/>
      <c r="V12" s="63"/>
      <c r="W12" s="63"/>
      <c r="X12" s="63"/>
      <c r="Y12" s="63"/>
      <c r="Z12" s="63"/>
      <c r="AA12" s="63"/>
      <c r="AB12" s="63"/>
      <c r="AC12" s="63"/>
      <c r="AD12" s="63"/>
      <c r="AE12" s="63"/>
    </row>
    <row r="13" spans="1:31">
      <c r="A13" s="464"/>
      <c r="B13" s="119"/>
      <c r="C13" s="162"/>
      <c r="D13" s="172"/>
      <c r="E13" s="465"/>
      <c r="F13" s="172"/>
      <c r="G13" s="465"/>
      <c r="H13" s="466"/>
      <c r="I13" s="465"/>
      <c r="J13" s="120"/>
      <c r="K13" s="457" t="s">
        <v>301</v>
      </c>
      <c r="L13" s="1289" t="s">
        <v>506</v>
      </c>
      <c r="M13" s="1290"/>
      <c r="N13" s="120"/>
      <c r="O13" s="120"/>
      <c r="P13" s="453"/>
      <c r="Q13" s="63"/>
      <c r="R13" s="63"/>
      <c r="S13" s="63"/>
      <c r="T13" s="63"/>
      <c r="U13" s="63"/>
      <c r="V13" s="63"/>
      <c r="W13" s="63"/>
      <c r="X13" s="63"/>
      <c r="Y13" s="63"/>
      <c r="Z13" s="63"/>
      <c r="AA13" s="63"/>
      <c r="AB13" s="63"/>
      <c r="AC13" s="63"/>
      <c r="AD13" s="63"/>
      <c r="AE13" s="63"/>
    </row>
    <row r="14" spans="1:31">
      <c r="A14" s="467" t="s">
        <v>119</v>
      </c>
      <c r="B14" s="119"/>
      <c r="C14" s="162"/>
      <c r="D14" s="172">
        <f>Rentabilität!F36</f>
        <v>0</v>
      </c>
      <c r="E14" s="465" t="str">
        <f>IF(D$16=0,"",(D14/D$19*100))</f>
        <v/>
      </c>
      <c r="F14" s="172">
        <f>Rentabilität!H36</f>
        <v>0</v>
      </c>
      <c r="G14" s="465" t="str">
        <f>IF(F$16=0,"",(F14/F$19*100))</f>
        <v/>
      </c>
      <c r="H14" s="466">
        <f>Rentabilität!J36</f>
        <v>0</v>
      </c>
      <c r="I14" s="465" t="str">
        <f>IF(H$16=0,"",(H14/H$19*100))</f>
        <v/>
      </c>
      <c r="J14" s="63"/>
      <c r="K14" s="457"/>
      <c r="L14" s="1291"/>
      <c r="M14" s="1292"/>
      <c r="N14" s="123" t="s">
        <v>315</v>
      </c>
      <c r="O14" s="120"/>
      <c r="P14" s="453"/>
      <c r="Q14" s="63"/>
      <c r="S14" s="63"/>
      <c r="T14" s="63"/>
      <c r="U14" s="63"/>
      <c r="V14" s="63"/>
      <c r="W14" s="63"/>
      <c r="X14" s="63"/>
      <c r="Y14" s="63"/>
      <c r="Z14" s="63"/>
      <c r="AA14" s="63"/>
      <c r="AB14" s="63"/>
      <c r="AC14" s="63"/>
      <c r="AD14" s="63"/>
      <c r="AE14" s="63"/>
    </row>
    <row r="15" spans="1:31">
      <c r="A15" s="468" t="s">
        <v>120</v>
      </c>
      <c r="B15" s="460"/>
      <c r="C15" s="461"/>
      <c r="D15" s="178">
        <f>Rentabilität!F38</f>
        <v>0</v>
      </c>
      <c r="E15" s="469" t="str">
        <f>IF(D$16=0,"",(D15/D$19*100))</f>
        <v/>
      </c>
      <c r="F15" s="178">
        <f>Rentabilität!H38</f>
        <v>0</v>
      </c>
      <c r="G15" s="469" t="str">
        <f>IF(F$16=0,"",(F15/F$19*100))</f>
        <v/>
      </c>
      <c r="H15" s="178">
        <f>Rentabilität!J38</f>
        <v>0</v>
      </c>
      <c r="I15" s="178" t="str">
        <f>IF('übrige Kosten'!H34&gt;0,Rentabilität!K38,IF((I12-24500)&gt;0,(I12-24500)*0.035*'übrige Kosten'!$B$34,0))</f>
        <v/>
      </c>
      <c r="J15" s="120"/>
      <c r="K15" s="457"/>
      <c r="L15" s="120"/>
      <c r="M15" s="120"/>
      <c r="N15" s="63"/>
      <c r="O15" s="120"/>
      <c r="P15" s="453"/>
      <c r="Q15" s="63"/>
      <c r="R15" s="63"/>
      <c r="S15" s="63"/>
      <c r="T15" s="63"/>
      <c r="U15" s="63"/>
      <c r="V15" s="63"/>
      <c r="W15" s="63"/>
      <c r="X15" s="63"/>
      <c r="Y15" s="63"/>
      <c r="Z15" s="63"/>
      <c r="AA15" s="63"/>
      <c r="AB15" s="63"/>
      <c r="AC15" s="63"/>
      <c r="AD15" s="63"/>
      <c r="AE15" s="63"/>
    </row>
    <row r="16" spans="1:31">
      <c r="A16" s="470" t="s">
        <v>121</v>
      </c>
      <c r="B16" s="454"/>
      <c r="C16" s="455"/>
      <c r="D16" s="471">
        <f>D12+D14+D15</f>
        <v>0</v>
      </c>
      <c r="E16" s="472">
        <f>IF(D$19=0,0,(100-E18))</f>
        <v>0</v>
      </c>
      <c r="F16" s="471">
        <f>F12+F14+F15</f>
        <v>0</v>
      </c>
      <c r="G16" s="472" t="str">
        <f>IF(F$19=0,"",(100-G18))</f>
        <v/>
      </c>
      <c r="H16" s="471">
        <f>H12+H14+H15</f>
        <v>0</v>
      </c>
      <c r="I16" s="473" t="str">
        <f>IF(H$19=0,"",(100-I18))</f>
        <v/>
      </c>
      <c r="J16" s="120"/>
      <c r="K16" s="457"/>
      <c r="L16" s="1289" t="s">
        <v>507</v>
      </c>
      <c r="M16" s="1290"/>
      <c r="N16" s="120"/>
      <c r="O16" s="120"/>
      <c r="P16" s="453"/>
      <c r="Q16" s="63"/>
      <c r="R16" s="63"/>
      <c r="S16" s="63"/>
      <c r="T16" s="63"/>
      <c r="U16" s="63"/>
      <c r="V16" s="63"/>
      <c r="W16" s="63"/>
      <c r="X16" s="63"/>
      <c r="Y16" s="63"/>
      <c r="Z16" s="63"/>
      <c r="AA16" s="63"/>
      <c r="AB16" s="63"/>
      <c r="AC16" s="63"/>
      <c r="AD16" s="63"/>
      <c r="AE16" s="63"/>
    </row>
    <row r="17" spans="1:31">
      <c r="A17" s="92"/>
      <c r="B17" s="119"/>
      <c r="C17" s="162"/>
      <c r="D17" s="378"/>
      <c r="E17" s="465"/>
      <c r="F17" s="378"/>
      <c r="G17" s="465"/>
      <c r="H17" s="378"/>
      <c r="I17" s="465"/>
      <c r="J17" s="120"/>
      <c r="K17" s="457" t="s">
        <v>243</v>
      </c>
      <c r="L17" s="1291"/>
      <c r="M17" s="1292"/>
      <c r="N17" s="123" t="s">
        <v>241</v>
      </c>
      <c r="O17" s="120"/>
      <c r="P17" s="453"/>
      <c r="Q17" s="63"/>
      <c r="R17" s="63"/>
      <c r="S17" s="63"/>
      <c r="T17" s="63"/>
      <c r="U17" s="63"/>
      <c r="V17" s="63"/>
      <c r="W17" s="63"/>
      <c r="X17" s="63"/>
      <c r="Y17" s="63"/>
      <c r="Z17" s="63"/>
      <c r="AA17" s="63"/>
      <c r="AB17" s="63"/>
      <c r="AC17" s="63"/>
      <c r="AD17" s="63"/>
      <c r="AE17" s="63"/>
    </row>
    <row r="18" spans="1:31">
      <c r="A18" s="467" t="s">
        <v>122</v>
      </c>
      <c r="B18" s="119"/>
      <c r="C18" s="162"/>
      <c r="D18" s="410" t="str">
        <f>IF(D16=0,"",ROUND(D16/E16*E18,-1))</f>
        <v/>
      </c>
      <c r="E18" s="814">
        <v>0</v>
      </c>
      <c r="F18" s="410" t="str">
        <f>IF(F16=0,"",ROUND(F16/G16*G18,-1))</f>
        <v/>
      </c>
      <c r="G18" s="814">
        <v>0</v>
      </c>
      <c r="H18" s="410" t="str">
        <f>IF(H16=0,"",ROUND(H16/I16*I18,-1))</f>
        <v/>
      </c>
      <c r="I18" s="814">
        <v>0</v>
      </c>
      <c r="J18" s="63"/>
      <c r="K18" s="208"/>
      <c r="L18" s="120"/>
      <c r="M18" s="120"/>
      <c r="N18" s="63"/>
      <c r="O18" s="120"/>
      <c r="P18" s="453"/>
      <c r="Q18" s="63"/>
      <c r="S18" s="63"/>
      <c r="T18" s="63"/>
      <c r="U18" s="63"/>
      <c r="V18" s="63"/>
      <c r="W18" s="63"/>
      <c r="X18" s="63"/>
      <c r="Y18" s="63"/>
      <c r="Z18" s="63"/>
      <c r="AA18" s="63"/>
      <c r="AB18" s="63"/>
      <c r="AC18" s="63"/>
      <c r="AD18" s="63"/>
      <c r="AE18" s="63"/>
    </row>
    <row r="19" spans="1:31" ht="16.2" thickBot="1">
      <c r="A19" s="474" t="s">
        <v>247</v>
      </c>
      <c r="B19" s="475"/>
      <c r="C19" s="476"/>
      <c r="D19" s="477">
        <f>ROUND(D16*100/(100-E18),-2)</f>
        <v>0</v>
      </c>
      <c r="E19" s="478">
        <v>100</v>
      </c>
      <c r="F19" s="477">
        <f>ROUND(F16*100/(100-G18),-2)</f>
        <v>0</v>
      </c>
      <c r="G19" s="478">
        <v>100</v>
      </c>
      <c r="H19" s="477">
        <f>ROUND(H16*100/(100-I18),-2)</f>
        <v>0</v>
      </c>
      <c r="I19" s="478">
        <v>100</v>
      </c>
      <c r="J19" s="120"/>
      <c r="K19" s="222"/>
      <c r="L19" s="479"/>
      <c r="M19" s="479"/>
      <c r="N19" s="479"/>
      <c r="O19" s="479"/>
      <c r="P19" s="480"/>
      <c r="Q19" s="63"/>
      <c r="R19" s="63"/>
      <c r="S19" s="63"/>
      <c r="T19" s="63"/>
      <c r="U19" s="63"/>
      <c r="V19" s="63"/>
      <c r="W19" s="63"/>
      <c r="X19" s="63"/>
      <c r="Y19" s="63"/>
      <c r="Z19" s="63"/>
      <c r="AA19" s="63"/>
      <c r="AB19" s="63"/>
      <c r="AC19" s="63"/>
      <c r="AD19" s="63"/>
      <c r="AE19" s="63"/>
    </row>
    <row r="20" spans="1:31" ht="13.8" thickTop="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row>
    <row r="21" spans="1:3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row>
    <row r="22" spans="1:3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row>
    <row r="23" spans="1:3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row>
    <row r="24" spans="1:3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row>
    <row r="25" spans="1:31" ht="17.399999999999999">
      <c r="A25" s="112" t="str">
        <f>CONCATENATE("Kapazitätsorientierte Umsatzberechnung des Unternehmens:  ",  Startseite!C14)</f>
        <v xml:space="preserve">Kapazitätsorientierte Umsatzberechnung des Unternehmens:  </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row>
    <row r="26" spans="1:31" ht="13.8" thickBot="1">
      <c r="A26" s="63"/>
      <c r="B26" s="63"/>
      <c r="C26" s="63"/>
      <c r="D26" s="63"/>
      <c r="E26" s="63"/>
      <c r="F26" s="63"/>
      <c r="G26" s="63"/>
      <c r="H26" s="63"/>
      <c r="I26" s="63"/>
      <c r="J26" s="63"/>
      <c r="K26" s="63"/>
      <c r="L26" s="63"/>
      <c r="M26" s="63"/>
      <c r="N26" s="63"/>
      <c r="O26" s="63"/>
      <c r="P26" s="63"/>
      <c r="Q26" s="63"/>
      <c r="R26" s="895" t="s">
        <v>504</v>
      </c>
      <c r="S26" s="63"/>
      <c r="T26" s="63"/>
      <c r="U26" s="63"/>
      <c r="V26" s="63"/>
      <c r="W26" s="63"/>
      <c r="X26" s="63"/>
      <c r="Y26" s="63"/>
      <c r="Z26" s="63"/>
      <c r="AA26" s="63"/>
      <c r="AB26" s="63"/>
      <c r="AC26" s="63"/>
      <c r="AD26" s="63"/>
      <c r="AE26" s="63"/>
    </row>
    <row r="27" spans="1:31" ht="13.8" thickTop="1">
      <c r="A27" s="481"/>
      <c r="B27" s="482"/>
      <c r="C27" s="482"/>
      <c r="D27" s="482"/>
      <c r="E27" s="482"/>
      <c r="F27" s="482"/>
      <c r="G27" s="482"/>
      <c r="H27" s="482"/>
      <c r="I27" s="482"/>
      <c r="J27" s="482"/>
      <c r="K27" s="482"/>
      <c r="L27" s="482"/>
      <c r="M27" s="482"/>
      <c r="N27" s="482"/>
      <c r="O27" s="482"/>
      <c r="P27" s="483"/>
      <c r="Q27" s="63"/>
      <c r="R27" s="63"/>
      <c r="S27" s="63"/>
      <c r="T27" s="63"/>
      <c r="U27" s="63"/>
      <c r="V27" s="63"/>
      <c r="W27" s="63"/>
      <c r="X27" s="63"/>
      <c r="Y27" s="63"/>
      <c r="Z27" s="63"/>
      <c r="AA27" s="63"/>
      <c r="AB27" s="63"/>
      <c r="AC27" s="63"/>
      <c r="AD27" s="63"/>
      <c r="AE27" s="63"/>
    </row>
    <row r="28" spans="1:31" ht="13.8" thickBot="1">
      <c r="A28" s="484"/>
      <c r="B28" s="1247" t="s">
        <v>403</v>
      </c>
      <c r="C28" s="1247"/>
      <c r="D28" s="1247"/>
      <c r="E28" s="1247"/>
      <c r="F28" s="1249"/>
      <c r="G28" s="1247" t="s">
        <v>152</v>
      </c>
      <c r="H28" s="1247"/>
      <c r="I28" s="1247"/>
      <c r="J28" s="1247"/>
      <c r="K28" s="1249"/>
      <c r="L28" s="1246" t="s">
        <v>153</v>
      </c>
      <c r="M28" s="1247"/>
      <c r="N28" s="1247"/>
      <c r="O28" s="1247"/>
      <c r="P28" s="1248"/>
      <c r="Q28" s="63"/>
      <c r="R28" s="63"/>
      <c r="S28" s="63"/>
      <c r="T28" s="63"/>
      <c r="U28" s="63"/>
      <c r="V28" s="63"/>
      <c r="W28" s="63"/>
      <c r="X28" s="63"/>
      <c r="Y28" s="63"/>
      <c r="Z28" s="63"/>
      <c r="AA28" s="63"/>
      <c r="AB28" s="63"/>
      <c r="AC28" s="63"/>
      <c r="AD28" s="63"/>
      <c r="AE28" s="63"/>
    </row>
    <row r="29" spans="1:31" ht="13.8" thickBot="1">
      <c r="A29" s="486" t="s">
        <v>0</v>
      </c>
      <c r="B29" s="487" t="s">
        <v>131</v>
      </c>
      <c r="C29" s="487" t="s">
        <v>127</v>
      </c>
      <c r="D29" s="487" t="s">
        <v>154</v>
      </c>
      <c r="E29" s="487" t="s">
        <v>1</v>
      </c>
      <c r="F29" s="488" t="s">
        <v>29</v>
      </c>
      <c r="G29" s="487" t="s">
        <v>131</v>
      </c>
      <c r="H29" s="487" t="s">
        <v>127</v>
      </c>
      <c r="I29" s="487" t="s">
        <v>154</v>
      </c>
      <c r="J29" s="487" t="s">
        <v>1</v>
      </c>
      <c r="K29" s="488" t="s">
        <v>29</v>
      </c>
      <c r="L29" s="487" t="s">
        <v>131</v>
      </c>
      <c r="M29" s="487" t="s">
        <v>127</v>
      </c>
      <c r="N29" s="487" t="s">
        <v>154</v>
      </c>
      <c r="O29" s="487" t="s">
        <v>1</v>
      </c>
      <c r="P29" s="489" t="s">
        <v>29</v>
      </c>
      <c r="Q29" s="63"/>
      <c r="R29" s="63"/>
      <c r="S29" s="63"/>
      <c r="T29" s="63"/>
      <c r="U29" s="63"/>
      <c r="V29" s="63"/>
      <c r="W29" s="63"/>
      <c r="X29" s="63"/>
      <c r="Y29" s="63"/>
      <c r="Z29" s="63"/>
      <c r="AA29" s="63"/>
      <c r="AB29" s="63"/>
      <c r="AC29" s="63"/>
      <c r="AD29" s="63"/>
      <c r="AE29" s="63"/>
    </row>
    <row r="30" spans="1:31">
      <c r="A30" s="490" t="s">
        <v>132</v>
      </c>
      <c r="B30" s="491"/>
      <c r="C30" s="826"/>
      <c r="D30" s="888">
        <f>52*C30</f>
        <v>0</v>
      </c>
      <c r="E30" s="491"/>
      <c r="F30" s="492"/>
      <c r="G30" s="491"/>
      <c r="H30" s="826"/>
      <c r="I30" s="888">
        <f>52*H30</f>
        <v>0</v>
      </c>
      <c r="J30" s="491"/>
      <c r="K30" s="492"/>
      <c r="L30" s="491"/>
      <c r="M30" s="826"/>
      <c r="N30" s="888">
        <f>52*M30</f>
        <v>0</v>
      </c>
      <c r="O30" s="491"/>
      <c r="P30" s="493"/>
      <c r="Q30" s="63"/>
      <c r="R30" s="63"/>
      <c r="S30" s="63"/>
      <c r="T30" s="63"/>
      <c r="U30" s="63"/>
      <c r="V30" s="63"/>
      <c r="W30" s="63"/>
      <c r="X30" s="63"/>
      <c r="Y30" s="63"/>
      <c r="Z30" s="63"/>
      <c r="AA30" s="63"/>
      <c r="AB30" s="63"/>
      <c r="AC30" s="63"/>
      <c r="AD30" s="63"/>
      <c r="AE30" s="63"/>
    </row>
    <row r="31" spans="1:31" ht="13.8">
      <c r="A31" s="494" t="s">
        <v>441</v>
      </c>
      <c r="B31" s="180"/>
      <c r="C31" s="826">
        <f>C30/5</f>
        <v>0</v>
      </c>
      <c r="D31" s="96"/>
      <c r="E31" s="180"/>
      <c r="F31" s="495"/>
      <c r="G31" s="180"/>
      <c r="H31" s="826">
        <f>H30/5</f>
        <v>0</v>
      </c>
      <c r="I31" s="96"/>
      <c r="J31" s="180"/>
      <c r="K31" s="495"/>
      <c r="L31" s="180"/>
      <c r="M31" s="826">
        <f>M30/5</f>
        <v>0</v>
      </c>
      <c r="N31" s="96"/>
      <c r="O31" s="180"/>
      <c r="P31" s="496"/>
      <c r="Q31" s="63"/>
      <c r="R31" s="63"/>
      <c r="S31" s="63"/>
      <c r="T31" s="63"/>
      <c r="U31" s="63"/>
      <c r="V31" s="63"/>
      <c r="W31" s="63"/>
      <c r="X31" s="63"/>
      <c r="Y31" s="63"/>
      <c r="Z31" s="63"/>
      <c r="AA31" s="63"/>
      <c r="AB31" s="63"/>
      <c r="AC31" s="63"/>
      <c r="AD31" s="63"/>
      <c r="AE31" s="63"/>
    </row>
    <row r="32" spans="1:31">
      <c r="A32" s="494" t="s">
        <v>133</v>
      </c>
      <c r="B32" s="868">
        <v>10</v>
      </c>
      <c r="C32" s="180"/>
      <c r="D32" s="96">
        <f>B32*C$31</f>
        <v>0</v>
      </c>
      <c r="E32" s="180"/>
      <c r="F32" s="495"/>
      <c r="G32" s="868">
        <v>10</v>
      </c>
      <c r="H32" s="180"/>
      <c r="I32" s="96">
        <f>G32*H$31</f>
        <v>0</v>
      </c>
      <c r="J32" s="180"/>
      <c r="K32" s="495"/>
      <c r="L32" s="868">
        <v>10</v>
      </c>
      <c r="M32" s="180"/>
      <c r="N32" s="96">
        <f>L32*M$31</f>
        <v>0</v>
      </c>
      <c r="O32" s="180"/>
      <c r="P32" s="493"/>
      <c r="Q32" s="63"/>
      <c r="R32" s="63"/>
      <c r="S32" s="63"/>
      <c r="T32" s="63"/>
      <c r="U32" s="63"/>
      <c r="V32" s="63"/>
      <c r="W32" s="63"/>
      <c r="X32" s="63"/>
      <c r="Y32" s="63"/>
      <c r="Z32" s="63"/>
      <c r="AA32" s="63"/>
      <c r="AB32" s="63"/>
      <c r="AC32" s="63"/>
      <c r="AD32" s="63"/>
      <c r="AE32" s="63"/>
    </row>
    <row r="33" spans="1:31">
      <c r="A33" s="494" t="s">
        <v>134</v>
      </c>
      <c r="B33" s="868">
        <v>10</v>
      </c>
      <c r="C33" s="180"/>
      <c r="D33" s="96">
        <f>B33*C$31</f>
        <v>0</v>
      </c>
      <c r="E33" s="180"/>
      <c r="F33" s="495"/>
      <c r="G33" s="868">
        <v>30</v>
      </c>
      <c r="H33" s="180"/>
      <c r="I33" s="96">
        <f>G33*H$31</f>
        <v>0</v>
      </c>
      <c r="J33" s="180"/>
      <c r="K33" s="495"/>
      <c r="L33" s="868">
        <v>30</v>
      </c>
      <c r="M33" s="180"/>
      <c r="N33" s="96">
        <f>L33*M$31</f>
        <v>0</v>
      </c>
      <c r="O33" s="180"/>
      <c r="P33" s="496"/>
      <c r="Q33" s="63"/>
      <c r="R33" s="63"/>
      <c r="S33" s="63"/>
      <c r="T33" s="63"/>
      <c r="U33" s="63"/>
      <c r="V33" s="63"/>
      <c r="W33" s="63"/>
      <c r="X33" s="63"/>
      <c r="Y33" s="63"/>
      <c r="Z33" s="63"/>
      <c r="AA33" s="63"/>
      <c r="AB33" s="63"/>
      <c r="AC33" s="63"/>
      <c r="AD33" s="63"/>
      <c r="AE33" s="63"/>
    </row>
    <row r="34" spans="1:31">
      <c r="A34" s="494" t="s">
        <v>135</v>
      </c>
      <c r="B34" s="868">
        <v>5</v>
      </c>
      <c r="C34" s="180"/>
      <c r="D34" s="96">
        <f>B34*C$31</f>
        <v>0</v>
      </c>
      <c r="E34" s="180"/>
      <c r="F34" s="495"/>
      <c r="G34" s="868">
        <v>10</v>
      </c>
      <c r="H34" s="180"/>
      <c r="I34" s="96">
        <f>G34*H$31</f>
        <v>0</v>
      </c>
      <c r="J34" s="180"/>
      <c r="K34" s="495"/>
      <c r="L34" s="868">
        <v>10</v>
      </c>
      <c r="M34" s="180"/>
      <c r="N34" s="96">
        <f>L34*M$31</f>
        <v>0</v>
      </c>
      <c r="O34" s="180"/>
      <c r="P34" s="493"/>
      <c r="Q34" s="63"/>
      <c r="R34" s="63"/>
      <c r="S34" s="63"/>
      <c r="T34" s="63"/>
      <c r="U34" s="63"/>
      <c r="V34" s="63"/>
      <c r="W34" s="63"/>
      <c r="X34" s="63"/>
      <c r="Y34" s="63"/>
      <c r="Z34" s="63"/>
      <c r="AA34" s="63"/>
      <c r="AB34" s="63"/>
      <c r="AC34" s="63"/>
      <c r="AD34" s="63"/>
      <c r="AE34" s="63"/>
    </row>
    <row r="35" spans="1:31" ht="13.8" thickBot="1">
      <c r="A35" s="497" t="s">
        <v>136</v>
      </c>
      <c r="B35" s="814">
        <v>11.785</v>
      </c>
      <c r="C35" s="72"/>
      <c r="D35" s="394">
        <f>B35*C$31</f>
        <v>0</v>
      </c>
      <c r="E35" s="72"/>
      <c r="F35" s="498"/>
      <c r="G35" s="814">
        <v>5</v>
      </c>
      <c r="H35" s="72"/>
      <c r="I35" s="394">
        <f>G35*H$31</f>
        <v>0</v>
      </c>
      <c r="J35" s="72"/>
      <c r="K35" s="498"/>
      <c r="L35" s="814">
        <v>50</v>
      </c>
      <c r="M35" s="72"/>
      <c r="N35" s="394">
        <f>L35*M$31</f>
        <v>0</v>
      </c>
      <c r="O35" s="72"/>
      <c r="P35" s="499"/>
      <c r="Q35" s="63"/>
      <c r="R35" s="63"/>
      <c r="S35" s="63"/>
      <c r="T35" s="63"/>
      <c r="U35" s="63"/>
      <c r="V35" s="63"/>
      <c r="W35" s="63"/>
      <c r="X35" s="63"/>
      <c r="Y35" s="63"/>
      <c r="Z35" s="63"/>
      <c r="AA35" s="63"/>
      <c r="AB35" s="63"/>
      <c r="AC35" s="63"/>
      <c r="AD35" s="63"/>
      <c r="AE35" s="63"/>
    </row>
    <row r="36" spans="1:31">
      <c r="A36" s="500" t="s">
        <v>138</v>
      </c>
      <c r="B36" s="491"/>
      <c r="C36" s="491"/>
      <c r="D36" s="888">
        <f>D30-SUM(D32:D35)</f>
        <v>0</v>
      </c>
      <c r="E36" s="491"/>
      <c r="F36" s="492"/>
      <c r="G36" s="491"/>
      <c r="H36" s="491"/>
      <c r="I36" s="888">
        <f>I30-SUM(I32:I35)</f>
        <v>0</v>
      </c>
      <c r="J36" s="491"/>
      <c r="K36" s="492"/>
      <c r="L36" s="491"/>
      <c r="M36" s="491"/>
      <c r="N36" s="888">
        <f>N30-SUM(N32:N35)</f>
        <v>0</v>
      </c>
      <c r="O36" s="491"/>
      <c r="P36" s="493"/>
      <c r="Q36" s="63"/>
      <c r="R36" s="63"/>
      <c r="S36" s="63"/>
      <c r="T36" s="63"/>
      <c r="U36" s="63"/>
      <c r="V36" s="63"/>
      <c r="W36" s="63"/>
      <c r="X36" s="63"/>
      <c r="Y36" s="63"/>
      <c r="Z36" s="63"/>
      <c r="AA36" s="63"/>
      <c r="AB36" s="63"/>
      <c r="AC36" s="63"/>
      <c r="AD36" s="63"/>
      <c r="AE36" s="63"/>
    </row>
    <row r="37" spans="1:31" ht="13.8" thickBot="1">
      <c r="A37" s="501" t="s">
        <v>149</v>
      </c>
      <c r="B37" s="502"/>
      <c r="C37" s="502"/>
      <c r="D37" s="815"/>
      <c r="E37" s="502"/>
      <c r="F37" s="503"/>
      <c r="G37" s="502"/>
      <c r="H37" s="502"/>
      <c r="I37" s="890"/>
      <c r="J37" s="502"/>
      <c r="K37" s="503"/>
      <c r="L37" s="502"/>
      <c r="M37" s="502"/>
      <c r="N37" s="890"/>
      <c r="O37" s="502"/>
      <c r="P37" s="499"/>
      <c r="Q37" s="63"/>
      <c r="R37" s="63"/>
      <c r="S37" s="63"/>
      <c r="T37" s="63"/>
      <c r="U37" s="63"/>
      <c r="V37" s="63"/>
      <c r="W37" s="63"/>
      <c r="X37" s="63"/>
      <c r="Y37" s="63"/>
      <c r="Z37" s="63"/>
      <c r="AA37" s="63"/>
      <c r="AB37" s="63"/>
      <c r="AC37" s="63"/>
      <c r="AD37" s="63"/>
      <c r="AE37" s="63"/>
    </row>
    <row r="38" spans="1:31">
      <c r="A38" s="504" t="s">
        <v>137</v>
      </c>
      <c r="B38" s="377"/>
      <c r="C38" s="377"/>
      <c r="D38" s="94">
        <f>D36+D37</f>
        <v>0</v>
      </c>
      <c r="E38" s="377"/>
      <c r="F38" s="505"/>
      <c r="G38" s="377"/>
      <c r="H38" s="377"/>
      <c r="I38" s="94">
        <f>I36+I37</f>
        <v>0</v>
      </c>
      <c r="J38" s="377"/>
      <c r="K38" s="505"/>
      <c r="L38" s="377"/>
      <c r="M38" s="377"/>
      <c r="N38" s="94">
        <f>N36+N37</f>
        <v>0</v>
      </c>
      <c r="O38" s="377"/>
      <c r="P38" s="493"/>
      <c r="Q38" s="63"/>
      <c r="R38" s="63"/>
      <c r="S38" s="63"/>
      <c r="T38" s="63"/>
      <c r="U38" s="63"/>
      <c r="V38" s="63"/>
      <c r="W38" s="63"/>
      <c r="X38" s="63"/>
      <c r="Y38" s="63"/>
      <c r="Z38" s="63"/>
      <c r="AA38" s="63"/>
      <c r="AB38" s="63"/>
      <c r="AC38" s="63"/>
      <c r="AD38" s="63"/>
      <c r="AE38" s="63"/>
    </row>
    <row r="39" spans="1:31" ht="13.8" thickBot="1">
      <c r="A39" s="506" t="s">
        <v>150</v>
      </c>
      <c r="B39" s="502"/>
      <c r="C39" s="502"/>
      <c r="D39" s="889">
        <f>D38*E39</f>
        <v>0</v>
      </c>
      <c r="E39" s="869">
        <v>0.3</v>
      </c>
      <c r="F39" s="503"/>
      <c r="G39" s="502"/>
      <c r="H39" s="502"/>
      <c r="I39" s="889">
        <f>I38*J39</f>
        <v>0</v>
      </c>
      <c r="J39" s="869">
        <v>0.2</v>
      </c>
      <c r="K39" s="503"/>
      <c r="L39" s="502"/>
      <c r="M39" s="502"/>
      <c r="N39" s="889">
        <f>N38*O39</f>
        <v>0</v>
      </c>
      <c r="O39" s="869">
        <v>0.5</v>
      </c>
      <c r="P39" s="507"/>
      <c r="Q39" s="63"/>
      <c r="R39" s="63"/>
      <c r="S39" s="63"/>
      <c r="T39" s="63"/>
      <c r="U39" s="63"/>
      <c r="V39" s="63"/>
      <c r="W39" s="63"/>
      <c r="X39" s="63"/>
      <c r="Y39" s="63"/>
      <c r="Z39" s="63"/>
      <c r="AA39" s="63"/>
      <c r="AB39" s="63"/>
      <c r="AC39" s="63"/>
      <c r="AD39" s="63"/>
      <c r="AE39" s="63"/>
    </row>
    <row r="40" spans="1:31">
      <c r="A40" s="504" t="s">
        <v>297</v>
      </c>
      <c r="B40" s="377"/>
      <c r="C40" s="377"/>
      <c r="D40" s="94">
        <f>D38-D39</f>
        <v>0</v>
      </c>
      <c r="E40" s="377"/>
      <c r="F40" s="505"/>
      <c r="G40" s="377"/>
      <c r="H40" s="377"/>
      <c r="I40" s="94">
        <f>I38-I39</f>
        <v>0</v>
      </c>
      <c r="J40" s="377"/>
      <c r="K40" s="505"/>
      <c r="L40" s="377"/>
      <c r="M40" s="377"/>
      <c r="N40" s="94">
        <f>N38-N39</f>
        <v>0</v>
      </c>
      <c r="O40" s="377"/>
      <c r="P40" s="493"/>
      <c r="Q40" s="63"/>
      <c r="R40" s="63"/>
      <c r="S40" s="63"/>
      <c r="T40" s="63"/>
      <c r="U40" s="63"/>
      <c r="V40" s="63"/>
      <c r="W40" s="63"/>
      <c r="X40" s="63"/>
      <c r="Y40" s="63"/>
      <c r="Z40" s="63"/>
      <c r="AA40" s="63"/>
      <c r="AB40" s="63"/>
      <c r="AC40" s="63"/>
      <c r="AD40" s="63"/>
      <c r="AE40" s="63"/>
    </row>
    <row r="41" spans="1:31" ht="13.8" thickBot="1">
      <c r="A41" s="508" t="s">
        <v>139</v>
      </c>
      <c r="B41" s="509"/>
      <c r="C41" s="509"/>
      <c r="D41" s="1022">
        <v>1</v>
      </c>
      <c r="E41" s="509"/>
      <c r="F41" s="510"/>
      <c r="G41" s="509"/>
      <c r="H41" s="509"/>
      <c r="I41" s="1023"/>
      <c r="J41" s="509"/>
      <c r="K41" s="510"/>
      <c r="L41" s="509"/>
      <c r="M41" s="509"/>
      <c r="N41" s="1023"/>
      <c r="O41" s="509"/>
      <c r="P41" s="499"/>
      <c r="Q41" s="63"/>
      <c r="R41" s="63"/>
      <c r="S41" s="63"/>
      <c r="T41" s="63"/>
      <c r="U41" s="63"/>
      <c r="V41" s="63"/>
      <c r="W41" s="63"/>
      <c r="X41" s="63"/>
      <c r="Y41" s="63"/>
      <c r="Z41" s="63"/>
      <c r="AA41" s="63"/>
      <c r="AB41" s="63"/>
      <c r="AC41" s="63"/>
      <c r="AD41" s="63"/>
      <c r="AE41" s="63"/>
    </row>
    <row r="42" spans="1:31">
      <c r="A42" s="500" t="s">
        <v>296</v>
      </c>
      <c r="B42" s="491"/>
      <c r="C42" s="491"/>
      <c r="D42" s="888">
        <f>D40*D41</f>
        <v>0</v>
      </c>
      <c r="E42" s="491"/>
      <c r="F42" s="492"/>
      <c r="G42" s="491"/>
      <c r="H42" s="491"/>
      <c r="I42" s="888">
        <f>I40*I41</f>
        <v>0</v>
      </c>
      <c r="J42" s="491"/>
      <c r="K42" s="492"/>
      <c r="L42" s="491"/>
      <c r="M42" s="491"/>
      <c r="N42" s="888">
        <f>N40*N41</f>
        <v>0</v>
      </c>
      <c r="O42" s="491"/>
      <c r="P42" s="511"/>
      <c r="Q42" s="63"/>
      <c r="R42" s="63"/>
      <c r="S42" s="63"/>
      <c r="T42" s="63"/>
      <c r="U42" s="63"/>
      <c r="V42" s="63"/>
      <c r="W42" s="63"/>
      <c r="X42" s="63"/>
      <c r="Y42" s="63"/>
      <c r="Z42" s="63"/>
      <c r="AA42" s="63"/>
      <c r="AB42" s="63"/>
      <c r="AC42" s="63"/>
      <c r="AD42" s="63"/>
      <c r="AE42" s="63"/>
    </row>
    <row r="43" spans="1:31" ht="13.8" thickBot="1">
      <c r="A43" s="501" t="s">
        <v>171</v>
      </c>
      <c r="B43" s="502"/>
      <c r="C43" s="502"/>
      <c r="D43" s="502"/>
      <c r="E43" s="502"/>
      <c r="F43" s="816"/>
      <c r="G43" s="502"/>
      <c r="H43" s="502"/>
      <c r="I43" s="502"/>
      <c r="J43" s="502"/>
      <c r="K43" s="816"/>
      <c r="L43" s="502"/>
      <c r="M43" s="502"/>
      <c r="N43" s="502"/>
      <c r="O43" s="502"/>
      <c r="P43" s="817"/>
      <c r="Q43" s="63"/>
      <c r="R43" s="63"/>
      <c r="S43" s="63"/>
      <c r="T43" s="63"/>
      <c r="U43" s="63"/>
      <c r="V43" s="63"/>
      <c r="W43" s="63"/>
      <c r="X43" s="63"/>
      <c r="Y43" s="63"/>
      <c r="Z43" s="63"/>
      <c r="AA43" s="63"/>
      <c r="AB43" s="63"/>
      <c r="AC43" s="63"/>
      <c r="AD43" s="63"/>
      <c r="AE43" s="63"/>
    </row>
    <row r="44" spans="1:31" ht="13.8" thickBot="1">
      <c r="A44" s="512" t="s">
        <v>140</v>
      </c>
      <c r="B44" s="513"/>
      <c r="C44" s="513"/>
      <c r="D44" s="513"/>
      <c r="E44" s="513"/>
      <c r="F44" s="514">
        <f>D42*F43</f>
        <v>0</v>
      </c>
      <c r="G44" s="515"/>
      <c r="H44" s="516"/>
      <c r="I44" s="516"/>
      <c r="J44" s="516"/>
      <c r="K44" s="517">
        <f>I42*K43</f>
        <v>0</v>
      </c>
      <c r="L44" s="516"/>
      <c r="M44" s="516"/>
      <c r="N44" s="516"/>
      <c r="O44" s="516"/>
      <c r="P44" s="887">
        <f>N42*P43</f>
        <v>0</v>
      </c>
      <c r="Q44" s="63"/>
      <c r="R44" s="63"/>
      <c r="S44" s="63"/>
      <c r="T44" s="63"/>
      <c r="U44" s="63"/>
      <c r="V44" s="63"/>
      <c r="W44" s="63"/>
      <c r="X44" s="63"/>
      <c r="Y44" s="63"/>
      <c r="Z44" s="63"/>
      <c r="AA44" s="63"/>
      <c r="AB44" s="63"/>
      <c r="AC44" s="63"/>
      <c r="AD44" s="63"/>
      <c r="AE44" s="63"/>
    </row>
    <row r="45" spans="1:31">
      <c r="A45" s="519"/>
      <c r="B45" s="520"/>
      <c r="C45" s="520"/>
      <c r="D45" s="520"/>
      <c r="E45" s="520"/>
      <c r="F45" s="493"/>
      <c r="G45" s="63"/>
      <c r="H45" s="521"/>
      <c r="I45" s="63"/>
      <c r="J45" s="63"/>
      <c r="K45" s="63"/>
      <c r="L45" s="63"/>
      <c r="M45" s="63"/>
      <c r="N45" s="63"/>
      <c r="O45" s="63"/>
      <c r="P45" s="415"/>
      <c r="Q45" s="63"/>
      <c r="R45" s="63"/>
      <c r="S45" s="63"/>
      <c r="T45" s="63"/>
      <c r="U45" s="63"/>
      <c r="V45" s="63"/>
      <c r="W45" s="63"/>
      <c r="X45" s="63"/>
      <c r="Y45" s="63"/>
      <c r="Z45" s="63"/>
      <c r="AA45" s="63"/>
      <c r="AB45" s="63"/>
      <c r="AC45" s="63"/>
      <c r="AD45" s="63"/>
      <c r="AE45" s="63"/>
    </row>
    <row r="46" spans="1:31" ht="16.2" thickBot="1">
      <c r="A46" s="522" t="s">
        <v>155</v>
      </c>
      <c r="B46" s="523"/>
      <c r="C46" s="523"/>
      <c r="D46" s="523"/>
      <c r="E46" s="485" t="s">
        <v>1</v>
      </c>
      <c r="F46" s="524" t="s">
        <v>29</v>
      </c>
      <c r="G46" s="63"/>
      <c r="H46" s="525"/>
      <c r="I46" s="63"/>
      <c r="J46" s="63"/>
      <c r="K46" s="63"/>
      <c r="L46" s="63"/>
      <c r="M46" s="63"/>
      <c r="N46" s="63"/>
      <c r="O46" s="63"/>
      <c r="P46" s="415"/>
      <c r="Q46" s="63"/>
      <c r="R46" s="63"/>
      <c r="S46" s="63"/>
      <c r="T46" s="63"/>
      <c r="U46" s="63"/>
      <c r="V46" s="63"/>
      <c r="W46" s="63"/>
      <c r="X46" s="63"/>
      <c r="Y46" s="63"/>
      <c r="Z46" s="63"/>
      <c r="AA46" s="63"/>
      <c r="AB46" s="63"/>
      <c r="AC46" s="63"/>
      <c r="AD46" s="63"/>
      <c r="AE46" s="63"/>
    </row>
    <row r="47" spans="1:31">
      <c r="A47" s="484" t="s">
        <v>144</v>
      </c>
      <c r="B47" s="63"/>
      <c r="C47" s="63"/>
      <c r="D47" s="63"/>
      <c r="E47" s="63"/>
      <c r="F47" s="526">
        <f>F44+K44+P44</f>
        <v>0</v>
      </c>
      <c r="G47" s="63"/>
      <c r="H47" s="403"/>
      <c r="I47" s="63"/>
      <c r="J47" s="63"/>
      <c r="K47" s="63"/>
      <c r="L47" s="63"/>
      <c r="M47" s="63"/>
      <c r="N47" s="63"/>
      <c r="O47" s="63"/>
      <c r="P47" s="415"/>
      <c r="Q47" s="63"/>
      <c r="R47" s="63"/>
      <c r="S47" s="63"/>
      <c r="T47" s="63"/>
      <c r="U47" s="63"/>
      <c r="V47" s="63"/>
      <c r="W47" s="63"/>
      <c r="X47" s="63"/>
      <c r="Y47" s="63"/>
      <c r="Z47" s="63"/>
      <c r="AA47" s="63"/>
      <c r="AB47" s="63"/>
      <c r="AC47" s="63"/>
      <c r="AD47" s="63"/>
      <c r="AE47" s="63"/>
    </row>
    <row r="48" spans="1:31">
      <c r="A48" s="484"/>
      <c r="B48" s="63"/>
      <c r="C48" s="63"/>
      <c r="D48" s="63"/>
      <c r="E48" s="63"/>
      <c r="F48" s="493"/>
      <c r="G48" s="63"/>
      <c r="H48" s="521"/>
      <c r="I48" s="108"/>
      <c r="J48" s="63"/>
      <c r="K48" s="63"/>
      <c r="L48" s="63"/>
      <c r="M48" s="63"/>
      <c r="N48" s="63"/>
      <c r="O48" s="63"/>
      <c r="P48" s="415"/>
      <c r="Q48" s="63"/>
      <c r="R48" s="63"/>
      <c r="S48" s="63"/>
      <c r="T48" s="63"/>
      <c r="U48" s="63"/>
      <c r="V48" s="63"/>
      <c r="W48" s="63"/>
      <c r="X48" s="63"/>
      <c r="Y48" s="63"/>
      <c r="Z48" s="63"/>
      <c r="AA48" s="63"/>
      <c r="AB48" s="63"/>
      <c r="AC48" s="63"/>
      <c r="AD48" s="63"/>
      <c r="AE48" s="63"/>
    </row>
    <row r="49" spans="1:31">
      <c r="A49" s="527" t="s">
        <v>141</v>
      </c>
      <c r="B49" s="117"/>
      <c r="C49" s="117"/>
      <c r="D49" s="117"/>
      <c r="E49" s="1024"/>
      <c r="F49" s="528"/>
      <c r="G49" s="63"/>
      <c r="H49" s="529"/>
      <c r="I49" s="534"/>
      <c r="J49" s="530"/>
      <c r="K49" s="530"/>
      <c r="L49" s="63"/>
      <c r="M49" s="63"/>
      <c r="N49" s="63"/>
      <c r="O49" s="530"/>
      <c r="P49" s="415"/>
      <c r="Q49" s="63"/>
      <c r="R49" s="63"/>
      <c r="S49" s="63"/>
      <c r="T49" s="63"/>
      <c r="U49" s="63"/>
      <c r="V49" s="63"/>
      <c r="W49" s="63"/>
      <c r="X49" s="63"/>
      <c r="Y49" s="63"/>
      <c r="Z49" s="63"/>
      <c r="AA49" s="63"/>
      <c r="AB49" s="63"/>
      <c r="AC49" s="63"/>
      <c r="AD49" s="63"/>
      <c r="AE49" s="63"/>
    </row>
    <row r="50" spans="1:31">
      <c r="A50" s="527" t="s">
        <v>142</v>
      </c>
      <c r="B50" s="117"/>
      <c r="C50" s="117"/>
      <c r="D50" s="117"/>
      <c r="E50" s="1024"/>
      <c r="F50" s="528"/>
      <c r="G50" s="63"/>
      <c r="H50" s="521"/>
      <c r="I50" s="108"/>
      <c r="J50" s="530"/>
      <c r="K50" s="530"/>
      <c r="L50" s="63"/>
      <c r="M50" s="63"/>
      <c r="N50" s="63"/>
      <c r="O50" s="530"/>
      <c r="P50" s="415"/>
      <c r="Q50" s="63"/>
      <c r="R50" s="63"/>
      <c r="S50" s="63"/>
      <c r="T50" s="63"/>
      <c r="U50" s="63"/>
      <c r="V50" s="63"/>
      <c r="W50" s="63"/>
      <c r="X50" s="63"/>
      <c r="Y50" s="63"/>
      <c r="Z50" s="63"/>
      <c r="AA50" s="63"/>
      <c r="AB50" s="63"/>
      <c r="AC50" s="63"/>
      <c r="AD50" s="63"/>
      <c r="AE50" s="63"/>
    </row>
    <row r="51" spans="1:31">
      <c r="A51" s="531" t="s">
        <v>145</v>
      </c>
      <c r="B51" s="424"/>
      <c r="C51" s="424"/>
      <c r="D51" s="424"/>
      <c r="E51" s="396"/>
      <c r="F51" s="532">
        <f>(F47+F53)/(1-(E49*(1+E50)))-(F47+F53)</f>
        <v>0</v>
      </c>
      <c r="G51" s="63"/>
      <c r="H51" s="521"/>
      <c r="I51" s="63"/>
      <c r="J51" s="534"/>
      <c r="K51" s="63"/>
      <c r="L51" s="63"/>
      <c r="M51" s="63"/>
      <c r="N51" s="63"/>
      <c r="O51" s="63"/>
      <c r="P51" s="415"/>
      <c r="Q51" s="63"/>
      <c r="R51" s="63"/>
      <c r="S51" s="63"/>
      <c r="T51" s="63"/>
      <c r="U51" s="63"/>
      <c r="V51" s="63"/>
      <c r="W51" s="63"/>
      <c r="X51" s="63"/>
      <c r="Y51" s="63"/>
      <c r="Z51" s="63"/>
      <c r="AA51" s="63"/>
      <c r="AB51" s="63"/>
      <c r="AC51" s="63"/>
      <c r="AD51" s="63"/>
      <c r="AE51" s="63"/>
    </row>
    <row r="52" spans="1:31">
      <c r="A52" s="527"/>
      <c r="B52" s="117"/>
      <c r="C52" s="117"/>
      <c r="D52" s="117"/>
      <c r="E52" s="364"/>
      <c r="F52" s="533"/>
      <c r="G52" s="63"/>
      <c r="H52" s="521"/>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c r="A53" s="527" t="s">
        <v>146</v>
      </c>
      <c r="B53" s="117"/>
      <c r="C53" s="117"/>
      <c r="D53" s="117"/>
      <c r="E53" s="117"/>
      <c r="F53" s="818"/>
      <c r="G53" s="63"/>
      <c r="H53" s="521"/>
      <c r="I53" s="63"/>
      <c r="J53" s="63"/>
      <c r="K53" s="580"/>
      <c r="L53" s="63"/>
      <c r="M53" s="63"/>
      <c r="N53" s="63"/>
      <c r="O53" s="63"/>
      <c r="P53" s="415"/>
      <c r="Q53" s="63"/>
      <c r="R53" s="63"/>
      <c r="S53" s="63"/>
      <c r="T53" s="63"/>
      <c r="U53" s="63"/>
      <c r="V53" s="63"/>
      <c r="W53" s="63"/>
      <c r="X53" s="63"/>
      <c r="Y53" s="63"/>
      <c r="Z53" s="63"/>
      <c r="AA53" s="63"/>
      <c r="AB53" s="63"/>
      <c r="AC53" s="63"/>
      <c r="AD53" s="63"/>
      <c r="AE53" s="63"/>
    </row>
    <row r="54" spans="1:31">
      <c r="A54" s="527" t="s">
        <v>143</v>
      </c>
      <c r="B54" s="117"/>
      <c r="C54" s="117"/>
      <c r="D54" s="117"/>
      <c r="E54" s="870"/>
      <c r="F54" s="528"/>
      <c r="G54" s="63"/>
      <c r="H54" s="521"/>
      <c r="I54" s="63"/>
      <c r="J54" s="534"/>
      <c r="K54" s="534"/>
      <c r="L54" s="63"/>
      <c r="M54" s="63"/>
      <c r="N54" s="63"/>
      <c r="O54" s="534"/>
      <c r="P54" s="415"/>
      <c r="Q54" s="63"/>
      <c r="R54" s="63"/>
      <c r="S54" s="63"/>
      <c r="T54" s="63"/>
      <c r="U54" s="63"/>
      <c r="V54" s="63"/>
      <c r="W54" s="63"/>
      <c r="X54" s="63"/>
      <c r="Y54" s="63"/>
      <c r="Z54" s="63"/>
      <c r="AA54" s="63"/>
      <c r="AB54" s="63"/>
      <c r="AC54" s="63"/>
      <c r="AD54" s="63"/>
      <c r="AE54" s="63"/>
    </row>
    <row r="55" spans="1:31">
      <c r="A55" s="531" t="s">
        <v>147</v>
      </c>
      <c r="B55" s="424"/>
      <c r="C55" s="424"/>
      <c r="D55" s="424"/>
      <c r="E55" s="424"/>
      <c r="F55" s="532">
        <f>F53*(1+E54)</f>
        <v>0</v>
      </c>
      <c r="G55" s="63"/>
      <c r="H55" s="521"/>
      <c r="I55" s="63"/>
      <c r="J55" s="63"/>
      <c r="K55" s="63"/>
      <c r="L55" s="63"/>
      <c r="M55" s="63"/>
      <c r="N55" s="63"/>
      <c r="O55" s="63"/>
      <c r="P55" s="415"/>
      <c r="Q55" s="63"/>
      <c r="R55" s="63"/>
      <c r="S55" s="63"/>
      <c r="T55" s="63"/>
      <c r="U55" s="63"/>
      <c r="V55" s="63"/>
      <c r="W55" s="63"/>
      <c r="X55" s="63"/>
      <c r="Y55" s="63"/>
      <c r="Z55" s="63"/>
      <c r="AA55" s="63"/>
      <c r="AB55" s="63"/>
      <c r="AC55" s="63"/>
      <c r="AD55" s="63"/>
      <c r="AE55" s="63"/>
    </row>
    <row r="56" spans="1:31">
      <c r="A56" s="527"/>
      <c r="B56" s="117"/>
      <c r="C56" s="117"/>
      <c r="D56" s="117"/>
      <c r="E56" s="117"/>
      <c r="F56" s="533"/>
      <c r="G56" s="63"/>
      <c r="H56" s="521"/>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c r="A57" s="527" t="s">
        <v>148</v>
      </c>
      <c r="B57" s="117"/>
      <c r="C57" s="117"/>
      <c r="D57" s="117"/>
      <c r="E57" s="117"/>
      <c r="F57" s="535">
        <f>F47+F51+F55</f>
        <v>0</v>
      </c>
      <c r="G57" s="63"/>
      <c r="H57" s="536"/>
      <c r="I57" s="63"/>
      <c r="J57" s="63"/>
      <c r="K57" s="63"/>
      <c r="L57" s="63"/>
      <c r="M57" s="63"/>
      <c r="N57" s="63"/>
      <c r="O57" s="63"/>
      <c r="P57" s="108"/>
      <c r="Q57" s="63"/>
      <c r="R57" s="63"/>
      <c r="S57" s="63"/>
      <c r="T57" s="63"/>
      <c r="U57" s="63"/>
      <c r="V57" s="63"/>
      <c r="W57" s="63"/>
      <c r="X57" s="63"/>
      <c r="Y57" s="63"/>
      <c r="Z57" s="63"/>
      <c r="AA57" s="63"/>
      <c r="AB57" s="63"/>
      <c r="AC57" s="63"/>
      <c r="AD57" s="63"/>
      <c r="AE57" s="63"/>
    </row>
    <row r="58" spans="1:31" ht="15.6">
      <c r="A58" s="537" t="s">
        <v>151</v>
      </c>
      <c r="B58" s="538"/>
      <c r="C58" s="538"/>
      <c r="D58" s="538"/>
      <c r="E58" s="538"/>
      <c r="F58" s="539">
        <f>ROUND(F57,-3)</f>
        <v>0</v>
      </c>
      <c r="G58" s="63"/>
      <c r="H58" s="540"/>
      <c r="I58" s="63"/>
      <c r="J58" s="63"/>
      <c r="K58" s="63"/>
      <c r="L58" s="63"/>
      <c r="M58" s="63"/>
      <c r="N58" s="63"/>
      <c r="O58" s="63"/>
      <c r="P58" s="108"/>
      <c r="Q58" s="63"/>
      <c r="R58" s="63"/>
      <c r="S58" s="63"/>
      <c r="T58" s="63"/>
      <c r="U58" s="63"/>
      <c r="V58" s="63"/>
      <c r="W58" s="63"/>
      <c r="X58" s="63"/>
      <c r="Y58" s="63"/>
      <c r="Z58" s="63"/>
      <c r="AA58" s="63"/>
      <c r="AB58" s="63"/>
      <c r="AC58" s="63"/>
      <c r="AD58" s="63"/>
      <c r="AE58" s="63"/>
    </row>
    <row r="59" spans="1:31" ht="13.8" thickBot="1">
      <c r="A59" s="541"/>
      <c r="B59" s="542"/>
      <c r="C59" s="542"/>
      <c r="D59" s="542"/>
      <c r="E59" s="542"/>
      <c r="F59" s="518"/>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row>
    <row r="60" spans="1:31" ht="13.8" thickTop="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row>
    <row r="61" spans="1:3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row>
    <row r="62" spans="1:3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row>
    <row r="63" spans="1:3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row>
    <row r="64" spans="1:3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row>
    <row r="65" spans="1:3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row>
    <row r="66" spans="1:3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row>
    <row r="67" spans="1:31" ht="15.6">
      <c r="A67" s="116"/>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row>
    <row r="68" spans="1:31" ht="15" customHeight="1">
      <c r="A68" s="112" t="str">
        <f>CONCATENATE( "Umsatz nach Anzahl erwarteter Kunden (besonders für Ladengeschäfte) des Unternehmens:  ",Startseite!C14)</f>
        <v xml:space="preserve">Umsatz nach Anzahl erwarteter Kunden (besonders für Ladengeschäfte) des Unternehmens:  </v>
      </c>
      <c r="B68" s="63"/>
      <c r="C68" s="63"/>
      <c r="D68" s="63"/>
      <c r="E68" s="63"/>
      <c r="F68" s="63"/>
      <c r="G68" s="63"/>
      <c r="H68" s="63"/>
      <c r="I68" s="63"/>
      <c r="J68" s="63"/>
      <c r="K68" s="63"/>
      <c r="L68" s="63"/>
      <c r="M68" s="63"/>
      <c r="N68" s="63"/>
      <c r="O68" s="63"/>
      <c r="P68" s="63"/>
      <c r="Q68" s="63"/>
      <c r="R68" s="895" t="s">
        <v>504</v>
      </c>
      <c r="S68" s="63"/>
      <c r="T68" s="63"/>
      <c r="U68" s="63"/>
      <c r="V68" s="63"/>
      <c r="W68" s="63"/>
      <c r="X68" s="63"/>
      <c r="Y68" s="63"/>
      <c r="Z68" s="63"/>
      <c r="AA68" s="63"/>
      <c r="AB68" s="63"/>
      <c r="AC68" s="63"/>
      <c r="AD68" s="63"/>
      <c r="AE68" s="63"/>
    </row>
    <row r="69" spans="1:3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row>
    <row r="70" spans="1:3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row>
    <row r="71" spans="1:31" ht="16.2" thickBot="1">
      <c r="A71" s="116"/>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1:31" ht="13.8" thickTop="1">
      <c r="A72" s="481" t="s">
        <v>156</v>
      </c>
      <c r="B72" s="482"/>
      <c r="C72" s="482"/>
      <c r="D72" s="482">
        <v>365</v>
      </c>
      <c r="E72" s="482" t="s">
        <v>131</v>
      </c>
      <c r="F72" s="482"/>
      <c r="G72" s="483"/>
      <c r="H72" s="63"/>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c r="A73" s="484" t="s">
        <v>157</v>
      </c>
      <c r="B73" s="63"/>
      <c r="C73" s="63"/>
      <c r="D73" s="820">
        <v>62</v>
      </c>
      <c r="E73" s="63" t="s">
        <v>131</v>
      </c>
      <c r="F73" s="63"/>
      <c r="G73" s="543"/>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ht="13.8">
      <c r="A74" s="484" t="s">
        <v>158</v>
      </c>
      <c r="B74" s="63"/>
      <c r="C74" s="63"/>
      <c r="D74" s="820"/>
      <c r="E74" s="63" t="s">
        <v>131</v>
      </c>
      <c r="F74" s="63"/>
      <c r="G74" s="543"/>
      <c r="H74" s="63"/>
      <c r="I74" s="544" t="s">
        <v>229</v>
      </c>
      <c r="J74" s="63"/>
      <c r="K74" s="63"/>
      <c r="L74" s="63"/>
      <c r="M74" s="63"/>
      <c r="N74" s="63"/>
      <c r="O74" s="63"/>
      <c r="P74" s="63"/>
      <c r="Q74" s="63"/>
      <c r="R74" s="63"/>
      <c r="S74" s="63"/>
      <c r="T74" s="63"/>
      <c r="U74" s="63"/>
      <c r="V74" s="63"/>
      <c r="W74" s="63"/>
      <c r="X74" s="63"/>
      <c r="Y74" s="63"/>
      <c r="Z74" s="63"/>
      <c r="AA74" s="63"/>
      <c r="AB74" s="63"/>
      <c r="AC74" s="63"/>
      <c r="AD74" s="63"/>
      <c r="AE74" s="63"/>
    </row>
    <row r="75" spans="1:31">
      <c r="A75" s="545" t="s">
        <v>159</v>
      </c>
      <c r="B75" s="69"/>
      <c r="C75" s="69"/>
      <c r="D75" s="821"/>
      <c r="E75" s="69" t="s">
        <v>131</v>
      </c>
      <c r="F75" s="69"/>
      <c r="G75" s="546"/>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s="22" customFormat="1" ht="26.25" customHeight="1" thickBot="1">
      <c r="A76" s="547" t="s">
        <v>314</v>
      </c>
      <c r="B76" s="548"/>
      <c r="C76" s="548"/>
      <c r="D76" s="549">
        <f>D72-D73-D74-D75</f>
        <v>303</v>
      </c>
      <c r="E76" s="548" t="s">
        <v>131</v>
      </c>
      <c r="F76" s="548"/>
      <c r="G76" s="550"/>
      <c r="H76" s="551"/>
      <c r="I76" s="1256" t="s">
        <v>228</v>
      </c>
      <c r="J76" s="1257"/>
      <c r="K76" s="1258"/>
      <c r="L76" s="1228" t="s">
        <v>436</v>
      </c>
      <c r="M76" s="1230"/>
      <c r="N76" s="552" t="s">
        <v>435</v>
      </c>
      <c r="O76" s="1228" t="s">
        <v>227</v>
      </c>
      <c r="P76" s="1253"/>
      <c r="Q76" s="551"/>
      <c r="R76" s="551"/>
      <c r="S76" s="551"/>
      <c r="T76" s="551"/>
      <c r="U76" s="551"/>
      <c r="V76" s="551"/>
      <c r="W76" s="551"/>
      <c r="X76" s="551"/>
      <c r="Y76" s="551"/>
      <c r="Z76" s="551"/>
      <c r="AA76" s="551"/>
      <c r="AB76" s="551"/>
      <c r="AC76" s="551"/>
      <c r="AD76" s="551"/>
      <c r="AE76" s="551"/>
    </row>
    <row r="77" spans="1:31">
      <c r="A77" s="484"/>
      <c r="B77" s="63"/>
      <c r="C77" s="63"/>
      <c r="D77" s="63"/>
      <c r="E77" s="63"/>
      <c r="F77" s="63"/>
      <c r="G77" s="543"/>
      <c r="H77" s="63"/>
      <c r="I77" s="1250" t="s">
        <v>232</v>
      </c>
      <c r="J77" s="1251"/>
      <c r="K77" s="1252"/>
      <c r="L77" s="1217"/>
      <c r="M77" s="1218"/>
      <c r="N77" s="819"/>
      <c r="O77" s="1254">
        <f>L77*N77</f>
        <v>0</v>
      </c>
      <c r="P77" s="1255"/>
      <c r="Q77" s="63"/>
      <c r="R77" s="63"/>
      <c r="S77" s="63"/>
      <c r="T77" s="63"/>
      <c r="U77" s="63"/>
      <c r="V77" s="63"/>
      <c r="W77" s="63"/>
      <c r="X77" s="63"/>
      <c r="Y77" s="63"/>
      <c r="Z77" s="63"/>
      <c r="AA77" s="63"/>
      <c r="AB77" s="63"/>
      <c r="AC77" s="63"/>
      <c r="AD77" s="63"/>
      <c r="AE77" s="63"/>
    </row>
    <row r="78" spans="1:31">
      <c r="A78" s="484" t="s">
        <v>160</v>
      </c>
      <c r="B78" s="63"/>
      <c r="C78" s="63"/>
      <c r="D78" s="822"/>
      <c r="E78" s="63" t="s">
        <v>29</v>
      </c>
      <c r="F78" s="63" t="s">
        <v>186</v>
      </c>
      <c r="G78" s="543"/>
      <c r="H78" s="63"/>
      <c r="I78" s="1214" t="s">
        <v>233</v>
      </c>
      <c r="J78" s="1215"/>
      <c r="K78" s="1216"/>
      <c r="L78" s="1217"/>
      <c r="M78" s="1218"/>
      <c r="N78" s="819"/>
      <c r="O78" s="1212">
        <f>L78*N78</f>
        <v>0</v>
      </c>
      <c r="P78" s="1213"/>
      <c r="Q78" s="63"/>
      <c r="R78" s="63"/>
      <c r="S78" s="63"/>
      <c r="T78" s="63"/>
      <c r="U78" s="63"/>
      <c r="V78" s="63"/>
      <c r="W78" s="63"/>
      <c r="X78" s="63"/>
      <c r="Y78" s="63"/>
      <c r="Z78" s="63"/>
      <c r="AA78" s="63"/>
      <c r="AB78" s="63"/>
      <c r="AC78" s="63"/>
      <c r="AD78" s="63"/>
      <c r="AE78" s="63"/>
    </row>
    <row r="79" spans="1:31">
      <c r="A79" s="484" t="s">
        <v>161</v>
      </c>
      <c r="B79" s="63"/>
      <c r="C79" s="63"/>
      <c r="D79" s="823"/>
      <c r="E79" s="69" t="s">
        <v>162</v>
      </c>
      <c r="F79" s="63"/>
      <c r="G79" s="543"/>
      <c r="H79" s="63"/>
      <c r="I79" s="1214" t="s">
        <v>234</v>
      </c>
      <c r="J79" s="1215"/>
      <c r="K79" s="1216"/>
      <c r="L79" s="1217"/>
      <c r="M79" s="1218"/>
      <c r="N79" s="819"/>
      <c r="O79" s="1212">
        <f>L79*N79</f>
        <v>0</v>
      </c>
      <c r="P79" s="1213"/>
      <c r="Q79" s="63"/>
      <c r="R79" s="63"/>
      <c r="S79" s="63"/>
      <c r="T79" s="63"/>
      <c r="U79" s="63"/>
      <c r="V79" s="63"/>
      <c r="W79" s="63"/>
      <c r="X79" s="63"/>
      <c r="Y79" s="63"/>
      <c r="Z79" s="63"/>
      <c r="AA79" s="63"/>
      <c r="AB79" s="63"/>
      <c r="AC79" s="63"/>
      <c r="AD79" s="63"/>
      <c r="AE79" s="63"/>
    </row>
    <row r="80" spans="1:31">
      <c r="A80" s="484" t="s">
        <v>312</v>
      </c>
      <c r="B80" s="63"/>
      <c r="C80" s="63"/>
      <c r="D80" s="63">
        <f>D78*D79</f>
        <v>0</v>
      </c>
      <c r="E80" s="63" t="s">
        <v>313</v>
      </c>
      <c r="F80" s="63" t="s">
        <v>186</v>
      </c>
      <c r="G80" s="543"/>
      <c r="H80" s="63"/>
      <c r="I80" s="1214" t="s">
        <v>235</v>
      </c>
      <c r="J80" s="1215"/>
      <c r="K80" s="1216"/>
      <c r="L80" s="1217"/>
      <c r="M80" s="1218"/>
      <c r="N80" s="819"/>
      <c r="O80" s="1212">
        <f>L80*N80</f>
        <v>0</v>
      </c>
      <c r="P80" s="1213"/>
      <c r="Q80" s="63"/>
      <c r="R80" s="63"/>
      <c r="S80" s="63"/>
      <c r="T80" s="63"/>
      <c r="U80" s="63"/>
      <c r="V80" s="63"/>
      <c r="W80" s="63"/>
      <c r="X80" s="63"/>
      <c r="Y80" s="63"/>
      <c r="Z80" s="63"/>
      <c r="AA80" s="63"/>
      <c r="AB80" s="63"/>
      <c r="AC80" s="63"/>
      <c r="AD80" s="63"/>
      <c r="AE80" s="63"/>
    </row>
    <row r="81" spans="1:31">
      <c r="A81" s="545" t="s">
        <v>163</v>
      </c>
      <c r="B81" s="69"/>
      <c r="C81" s="69"/>
      <c r="D81" s="69">
        <f>D76</f>
        <v>303</v>
      </c>
      <c r="E81" s="69" t="s">
        <v>131</v>
      </c>
      <c r="F81" s="69"/>
      <c r="G81" s="546"/>
      <c r="H81" s="63"/>
      <c r="I81" s="1214" t="s">
        <v>481</v>
      </c>
      <c r="J81" s="1215"/>
      <c r="K81" s="1216"/>
      <c r="L81" s="1217"/>
      <c r="M81" s="1218"/>
      <c r="N81" s="819"/>
      <c r="O81" s="1212">
        <f t="shared" ref="O81:O86" si="0">L81*N81</f>
        <v>0</v>
      </c>
      <c r="P81" s="1213"/>
      <c r="Q81" s="63"/>
      <c r="R81" s="63"/>
      <c r="S81" s="63"/>
      <c r="T81" s="63"/>
      <c r="U81" s="63"/>
      <c r="V81" s="63"/>
      <c r="W81" s="63"/>
      <c r="X81" s="63"/>
      <c r="Y81" s="63"/>
      <c r="Z81" s="63"/>
      <c r="AA81" s="63"/>
      <c r="AB81" s="63"/>
      <c r="AC81" s="63"/>
      <c r="AD81" s="63"/>
      <c r="AE81" s="63"/>
    </row>
    <row r="82" spans="1:31">
      <c r="A82" s="484" t="s">
        <v>164</v>
      </c>
      <c r="B82" s="63"/>
      <c r="C82" s="63"/>
      <c r="D82" s="415">
        <f>D80*D81</f>
        <v>0</v>
      </c>
      <c r="E82" s="63" t="s">
        <v>29</v>
      </c>
      <c r="F82" s="63" t="s">
        <v>186</v>
      </c>
      <c r="G82" s="543"/>
      <c r="H82" s="63"/>
      <c r="I82" s="1214" t="s">
        <v>482</v>
      </c>
      <c r="J82" s="1215"/>
      <c r="K82" s="1216"/>
      <c r="L82" s="1217"/>
      <c r="M82" s="1218"/>
      <c r="N82" s="819"/>
      <c r="O82" s="1212">
        <f t="shared" si="0"/>
        <v>0</v>
      </c>
      <c r="P82" s="1213"/>
      <c r="Q82" s="63"/>
      <c r="R82" s="63"/>
      <c r="S82" s="63"/>
      <c r="T82" s="63"/>
      <c r="U82" s="63"/>
      <c r="V82" s="63"/>
      <c r="W82" s="63"/>
      <c r="X82" s="63"/>
      <c r="Y82" s="63"/>
      <c r="Z82" s="63"/>
      <c r="AA82" s="63"/>
      <c r="AB82" s="63"/>
      <c r="AC82" s="63"/>
      <c r="AD82" s="63"/>
      <c r="AE82" s="63"/>
    </row>
    <row r="83" spans="1:31" ht="15.6">
      <c r="A83" s="554" t="s">
        <v>170</v>
      </c>
      <c r="B83" s="116"/>
      <c r="C83" s="116"/>
      <c r="D83" s="555">
        <f>ROUND(D82,-3)</f>
        <v>0</v>
      </c>
      <c r="E83" s="116" t="s">
        <v>29</v>
      </c>
      <c r="F83" s="116" t="s">
        <v>186</v>
      </c>
      <c r="G83" s="556"/>
      <c r="H83" s="63"/>
      <c r="I83" s="1214" t="s">
        <v>483</v>
      </c>
      <c r="J83" s="1215"/>
      <c r="K83" s="1216"/>
      <c r="L83" s="1217"/>
      <c r="M83" s="1218"/>
      <c r="N83" s="819"/>
      <c r="O83" s="1212">
        <f t="shared" si="0"/>
        <v>0</v>
      </c>
      <c r="P83" s="1213"/>
      <c r="Q83" s="63"/>
      <c r="R83" s="63"/>
      <c r="S83" s="63"/>
      <c r="T83" s="63"/>
      <c r="U83" s="63"/>
      <c r="V83" s="63"/>
      <c r="W83" s="63"/>
      <c r="X83" s="63"/>
      <c r="Y83" s="63"/>
      <c r="Z83" s="63"/>
      <c r="AA83" s="63"/>
      <c r="AB83" s="63"/>
      <c r="AC83" s="63"/>
      <c r="AD83" s="63"/>
      <c r="AE83" s="63"/>
    </row>
    <row r="84" spans="1:31" ht="16.2" thickBot="1">
      <c r="A84" s="522"/>
      <c r="B84" s="557"/>
      <c r="C84" s="557"/>
      <c r="D84" s="558"/>
      <c r="E84" s="557"/>
      <c r="F84" s="523"/>
      <c r="G84" s="559"/>
      <c r="H84" s="63"/>
      <c r="I84" s="1214" t="s">
        <v>484</v>
      </c>
      <c r="J84" s="1215"/>
      <c r="K84" s="1216"/>
      <c r="L84" s="1217"/>
      <c r="M84" s="1218"/>
      <c r="N84" s="819"/>
      <c r="O84" s="1212">
        <f t="shared" si="0"/>
        <v>0</v>
      </c>
      <c r="P84" s="1213"/>
      <c r="Q84" s="63"/>
      <c r="R84" s="63"/>
      <c r="S84" s="63"/>
      <c r="T84" s="63"/>
      <c r="U84" s="63"/>
      <c r="V84" s="63"/>
      <c r="W84" s="63"/>
      <c r="X84" s="63"/>
      <c r="Y84" s="63"/>
      <c r="Z84" s="63"/>
      <c r="AA84" s="63"/>
      <c r="AB84" s="63"/>
      <c r="AC84" s="63"/>
      <c r="AD84" s="63"/>
      <c r="AE84" s="63"/>
    </row>
    <row r="85" spans="1:31">
      <c r="A85" s="484"/>
      <c r="B85" s="63"/>
      <c r="C85" s="63"/>
      <c r="D85" s="63"/>
      <c r="E85" s="63"/>
      <c r="F85" s="63"/>
      <c r="G85" s="543"/>
      <c r="H85" s="63"/>
      <c r="I85" s="1214" t="s">
        <v>485</v>
      </c>
      <c r="J85" s="1215"/>
      <c r="K85" s="1216"/>
      <c r="L85" s="1217"/>
      <c r="M85" s="1218"/>
      <c r="N85" s="819"/>
      <c r="O85" s="1212">
        <f t="shared" si="0"/>
        <v>0</v>
      </c>
      <c r="P85" s="1213"/>
      <c r="Q85" s="63"/>
      <c r="R85" s="63"/>
      <c r="S85" s="63"/>
      <c r="T85" s="63"/>
      <c r="U85" s="63"/>
      <c r="V85" s="63"/>
      <c r="W85" s="63"/>
      <c r="X85" s="63"/>
      <c r="Y85" s="63"/>
      <c r="Z85" s="63"/>
      <c r="AA85" s="63"/>
      <c r="AB85" s="63"/>
      <c r="AC85" s="63"/>
      <c r="AD85" s="63"/>
      <c r="AE85" s="63"/>
    </row>
    <row r="86" spans="1:31">
      <c r="A86" s="484" t="s">
        <v>299</v>
      </c>
      <c r="B86" s="1210">
        <f>Rentabilität!F22</f>
        <v>0</v>
      </c>
      <c r="C86" s="1211"/>
      <c r="D86" s="166" t="s">
        <v>29</v>
      </c>
      <c r="E86" s="63"/>
      <c r="F86" s="63"/>
      <c r="G86" s="543"/>
      <c r="H86" s="63"/>
      <c r="I86" s="1219" t="s">
        <v>486</v>
      </c>
      <c r="J86" s="1220"/>
      <c r="K86" s="1221"/>
      <c r="L86" s="1217"/>
      <c r="M86" s="1218"/>
      <c r="N86" s="819"/>
      <c r="O86" s="1212">
        <f t="shared" si="0"/>
        <v>0</v>
      </c>
      <c r="P86" s="1213"/>
      <c r="Q86" s="63"/>
      <c r="R86" s="63"/>
      <c r="S86" s="63"/>
      <c r="T86" s="63"/>
      <c r="U86" s="63"/>
      <c r="V86" s="63"/>
      <c r="W86" s="63"/>
      <c r="X86" s="63"/>
      <c r="Y86" s="63"/>
      <c r="Z86" s="63"/>
      <c r="AA86" s="63"/>
      <c r="AB86" s="63"/>
      <c r="AC86" s="63"/>
      <c r="AD86" s="63"/>
      <c r="AE86" s="63"/>
    </row>
    <row r="87" spans="1:31">
      <c r="A87" s="484" t="s">
        <v>298</v>
      </c>
      <c r="B87" s="534"/>
      <c r="C87" s="871">
        <v>0.19</v>
      </c>
      <c r="D87" s="166"/>
      <c r="E87" s="63"/>
      <c r="F87" s="63"/>
      <c r="G87" s="543"/>
      <c r="H87" s="63"/>
      <c r="I87" s="367" t="s">
        <v>230</v>
      </c>
      <c r="J87" s="221"/>
      <c r="K87" s="86"/>
      <c r="L87" s="117"/>
      <c r="M87" s="87"/>
      <c r="N87" s="553">
        <f>SUM(N77:N86)</f>
        <v>0</v>
      </c>
      <c r="O87" s="1259">
        <f>SUM(O77:P86)</f>
        <v>0</v>
      </c>
      <c r="P87" s="1260"/>
      <c r="Q87" s="63"/>
      <c r="R87" s="63"/>
      <c r="S87" s="63"/>
      <c r="T87" s="63"/>
      <c r="U87" s="63"/>
      <c r="V87" s="63"/>
      <c r="W87" s="63"/>
      <c r="X87" s="63"/>
      <c r="Y87" s="63"/>
      <c r="Z87" s="63"/>
      <c r="AA87" s="63"/>
      <c r="AB87" s="63"/>
      <c r="AC87" s="63"/>
      <c r="AD87" s="63"/>
      <c r="AE87" s="63"/>
    </row>
    <row r="88" spans="1:31">
      <c r="A88" s="484" t="s">
        <v>300</v>
      </c>
      <c r="B88" s="1210"/>
      <c r="C88" s="1211"/>
      <c r="D88" s="166">
        <f>B86+B86*C87</f>
        <v>0</v>
      </c>
      <c r="E88" s="63" t="s">
        <v>29</v>
      </c>
      <c r="F88" s="63"/>
      <c r="G88" s="543"/>
      <c r="H88" s="63"/>
      <c r="I88" s="63"/>
      <c r="J88" s="63"/>
      <c r="K88" s="63"/>
      <c r="L88" s="63"/>
      <c r="M88" s="63"/>
      <c r="N88" s="63"/>
      <c r="O88" s="63"/>
      <c r="P88" s="63"/>
      <c r="Q88" s="63"/>
      <c r="R88" s="63"/>
      <c r="S88" s="63"/>
      <c r="T88" s="63"/>
      <c r="U88" s="63"/>
      <c r="V88" s="63"/>
      <c r="W88" s="63"/>
      <c r="X88" s="63"/>
      <c r="Y88" s="63"/>
      <c r="Z88" s="63"/>
      <c r="AA88" s="63"/>
      <c r="AB88" s="63"/>
      <c r="AC88" s="63"/>
      <c r="AD88" s="63"/>
      <c r="AE88" s="63"/>
    </row>
    <row r="89" spans="1:31">
      <c r="A89" s="545" t="s">
        <v>165</v>
      </c>
      <c r="B89" s="69"/>
      <c r="C89" s="69"/>
      <c r="D89" s="560">
        <f>D78</f>
        <v>0</v>
      </c>
      <c r="E89" s="69" t="s">
        <v>29</v>
      </c>
      <c r="F89" s="69"/>
      <c r="G89" s="546"/>
      <c r="H89" s="63"/>
      <c r="I89" s="63"/>
      <c r="J89" s="63"/>
      <c r="K89" s="63"/>
      <c r="L89" s="63"/>
      <c r="M89" s="63"/>
      <c r="N89" s="63"/>
      <c r="O89" s="63"/>
      <c r="P89" s="63"/>
      <c r="Q89" s="63"/>
      <c r="R89" s="63"/>
      <c r="S89" s="63"/>
      <c r="T89" s="63"/>
      <c r="U89" s="63"/>
      <c r="V89" s="63"/>
      <c r="W89" s="63"/>
      <c r="X89" s="63"/>
      <c r="Y89" s="63"/>
      <c r="Z89" s="63"/>
      <c r="AA89" s="63"/>
      <c r="AB89" s="63"/>
      <c r="AC89" s="63"/>
      <c r="AD89" s="63"/>
      <c r="AE89" s="63"/>
    </row>
    <row r="90" spans="1:31">
      <c r="A90" s="484" t="s">
        <v>166</v>
      </c>
      <c r="B90" s="63"/>
      <c r="C90" s="63"/>
      <c r="D90" s="166">
        <f>IF(D89=0,0,D88/D89)</f>
        <v>0</v>
      </c>
      <c r="E90" s="63" t="s">
        <v>167</v>
      </c>
      <c r="F90" s="63"/>
      <c r="G90" s="543"/>
      <c r="H90" s="63"/>
      <c r="I90" s="63"/>
      <c r="J90" s="63"/>
      <c r="K90" s="63"/>
      <c r="L90" s="63"/>
      <c r="M90" s="63"/>
      <c r="N90" s="63"/>
      <c r="O90" s="63"/>
      <c r="P90" s="63"/>
      <c r="Q90" s="63"/>
      <c r="R90" s="63"/>
      <c r="S90" s="63"/>
      <c r="T90" s="63"/>
      <c r="U90" s="63"/>
      <c r="V90" s="63"/>
      <c r="W90" s="63"/>
      <c r="X90" s="63"/>
      <c r="Y90" s="63"/>
      <c r="Z90" s="63"/>
      <c r="AA90" s="63"/>
      <c r="AB90" s="63"/>
      <c r="AC90" s="63"/>
      <c r="AD90" s="63"/>
      <c r="AE90" s="63"/>
    </row>
    <row r="91" spans="1:31">
      <c r="A91" s="545" t="s">
        <v>168</v>
      </c>
      <c r="B91" s="69"/>
      <c r="C91" s="69"/>
      <c r="D91" s="69">
        <f>D76</f>
        <v>303</v>
      </c>
      <c r="E91" s="69" t="s">
        <v>131</v>
      </c>
      <c r="F91" s="69"/>
      <c r="G91" s="546"/>
      <c r="H91" s="63"/>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ht="16.2" thickBot="1">
      <c r="A92" s="561" t="s">
        <v>169</v>
      </c>
      <c r="B92" s="562"/>
      <c r="C92" s="562"/>
      <c r="D92" s="563">
        <f>D90/D91</f>
        <v>0</v>
      </c>
      <c r="E92" s="562" t="s">
        <v>167</v>
      </c>
      <c r="F92" s="562"/>
      <c r="G92" s="564"/>
      <c r="H92" s="63"/>
      <c r="I92" s="63"/>
      <c r="J92" s="63"/>
      <c r="K92" s="63"/>
      <c r="L92" s="63"/>
      <c r="M92" s="63"/>
      <c r="N92" s="63"/>
      <c r="O92" s="63"/>
      <c r="P92" s="63"/>
      <c r="Q92" s="63"/>
      <c r="R92" s="63"/>
      <c r="S92" s="63"/>
      <c r="T92" s="63"/>
      <c r="U92" s="63"/>
      <c r="V92" s="63"/>
      <c r="W92" s="63"/>
      <c r="X92" s="63"/>
      <c r="Y92" s="63"/>
      <c r="Z92" s="63"/>
      <c r="AA92" s="63"/>
      <c r="AB92" s="63"/>
      <c r="AC92" s="63"/>
      <c r="AD92" s="63"/>
      <c r="AE92" s="63"/>
    </row>
    <row r="93" spans="1:31" ht="13.8" thickTop="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row>
    <row r="94" spans="1:3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row>
    <row r="97" spans="1:3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row>
    <row r="98" spans="1:3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row>
    <row r="99" spans="1:3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row>
    <row r="100" spans="1:3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row>
    <row r="101" spans="1:3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row>
    <row r="102" spans="1:3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row>
    <row r="103" spans="1:3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row>
    <row r="104" spans="1:3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row>
    <row r="105" spans="1:3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spans="1:3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spans="1:3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row>
    <row r="108" spans="1:3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row>
    <row r="109" spans="1:3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spans="1:31" ht="17.399999999999999">
      <c r="A110" s="112" t="str">
        <f xml:space="preserve"> CONCATENATE("Umsatz nach Produkten/Dienstleistungen des Unternehmens:  ",Startseite!C14)</f>
        <v xml:space="preserve">Umsatz nach Produkten/Dienstleistungen des Unternehmens:  </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spans="1:31">
      <c r="A111" s="63"/>
      <c r="B111" s="63"/>
      <c r="C111" s="63"/>
      <c r="D111" s="63"/>
      <c r="E111" s="63"/>
      <c r="F111" s="63"/>
      <c r="G111" s="63"/>
      <c r="H111" s="63"/>
      <c r="I111" s="63"/>
      <c r="J111" s="63"/>
      <c r="K111" s="63"/>
      <c r="L111" s="63"/>
      <c r="M111" s="63"/>
      <c r="N111" s="63"/>
      <c r="O111" s="63"/>
      <c r="Q111" s="63"/>
      <c r="R111" s="895" t="s">
        <v>504</v>
      </c>
      <c r="S111" s="63"/>
      <c r="T111" s="63"/>
      <c r="U111" s="63"/>
      <c r="V111" s="63"/>
      <c r="W111" s="63"/>
      <c r="X111" s="63"/>
      <c r="Y111" s="63"/>
      <c r="Z111" s="63"/>
      <c r="AA111" s="63"/>
      <c r="AB111" s="63"/>
      <c r="AC111" s="63"/>
      <c r="AD111" s="63"/>
      <c r="AE111" s="63"/>
    </row>
    <row r="112" spans="1:31">
      <c r="A112" s="1231" t="s">
        <v>207</v>
      </c>
      <c r="B112" s="365"/>
      <c r="C112" s="1233" t="s">
        <v>283</v>
      </c>
      <c r="D112" s="1081"/>
      <c r="E112" s="1082"/>
      <c r="F112" s="1234" t="s">
        <v>208</v>
      </c>
      <c r="G112" s="1235"/>
      <c r="H112" s="1236"/>
      <c r="I112" s="156" t="str">
        <f>IF(C113="Jahr","Jahres-",IF(C113="Monat","Monats-",IF(C113="Woche","Wochen-",IF(C113="Tag","Tages-"))))</f>
        <v>Monats-</v>
      </c>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ht="26.4">
      <c r="A113" s="1232"/>
      <c r="B113" s="221"/>
      <c r="C113" s="1240" t="s">
        <v>521</v>
      </c>
      <c r="D113" s="1241"/>
      <c r="E113" s="1242"/>
      <c r="F113" s="1237"/>
      <c r="G113" s="1238"/>
      <c r="H113" s="1239"/>
      <c r="I113" s="565" t="s">
        <v>209</v>
      </c>
      <c r="J113" s="63"/>
      <c r="K113" s="1243" t="s">
        <v>349</v>
      </c>
      <c r="L113" s="1244"/>
      <c r="M113" s="1245"/>
      <c r="N113" s="1165"/>
      <c r="O113" s="63"/>
      <c r="P113" s="63"/>
      <c r="Q113" s="63"/>
      <c r="R113" s="63"/>
      <c r="S113" s="63"/>
      <c r="T113" s="63"/>
      <c r="U113" s="63"/>
      <c r="V113" s="63"/>
      <c r="W113" s="63"/>
      <c r="X113" s="63"/>
      <c r="Y113" s="63"/>
      <c r="Z113" s="63"/>
      <c r="AA113" s="63"/>
      <c r="AB113" s="63"/>
      <c r="AC113" s="63"/>
      <c r="AD113" s="63"/>
      <c r="AE113" s="63"/>
    </row>
    <row r="114" spans="1:31">
      <c r="A114" s="872" t="s">
        <v>520</v>
      </c>
      <c r="B114" s="70"/>
      <c r="C114" s="1222"/>
      <c r="D114" s="1223"/>
      <c r="E114" s="1224"/>
      <c r="F114" s="1225"/>
      <c r="G114" s="1226"/>
      <c r="H114" s="1227"/>
      <c r="I114" s="409">
        <f>ROUND($C114*F114,-1)</f>
        <v>0</v>
      </c>
      <c r="J114" s="63"/>
      <c r="K114" s="1228" t="s">
        <v>231</v>
      </c>
      <c r="L114" s="1229"/>
      <c r="M114" s="1230"/>
      <c r="N114" s="874">
        <v>5</v>
      </c>
      <c r="O114" s="63"/>
      <c r="P114" s="63"/>
      <c r="Q114" s="63"/>
      <c r="R114" s="63"/>
      <c r="S114" s="63"/>
      <c r="T114" s="63"/>
      <c r="U114" s="63"/>
      <c r="V114" s="63"/>
      <c r="W114" s="63"/>
      <c r="X114" s="63"/>
      <c r="Y114" s="63"/>
      <c r="Z114" s="63"/>
      <c r="AA114" s="63"/>
      <c r="AB114" s="63"/>
      <c r="AC114" s="63"/>
      <c r="AD114" s="63"/>
      <c r="AE114" s="63"/>
    </row>
    <row r="115" spans="1:31">
      <c r="A115" s="872" t="s">
        <v>213</v>
      </c>
      <c r="B115" s="70"/>
      <c r="C115" s="1222"/>
      <c r="D115" s="1223"/>
      <c r="E115" s="1224"/>
      <c r="F115" s="1225"/>
      <c r="G115" s="1226"/>
      <c r="H115" s="1227"/>
      <c r="I115" s="409">
        <f t="shared" ref="I115:I123" si="1">ROUND($C115*F115,-1)</f>
        <v>0</v>
      </c>
      <c r="J115" s="63"/>
      <c r="K115" s="92"/>
      <c r="L115" s="63"/>
      <c r="M115" s="63"/>
      <c r="N115" s="566" t="str">
        <f>IF(OR(N114&lt;1,N114&gt;7),"Falsche Eingabe","")</f>
        <v/>
      </c>
      <c r="O115" s="63"/>
      <c r="P115" s="63"/>
      <c r="Q115" s="63"/>
      <c r="R115" s="63"/>
      <c r="S115" s="63"/>
      <c r="T115" s="63"/>
      <c r="U115" s="63"/>
      <c r="V115" s="63"/>
      <c r="W115" s="63"/>
      <c r="X115" s="63"/>
      <c r="Y115" s="63"/>
      <c r="Z115" s="63"/>
      <c r="AA115" s="63"/>
      <c r="AB115" s="63"/>
      <c r="AC115" s="63"/>
      <c r="AD115" s="63"/>
      <c r="AE115" s="63"/>
    </row>
    <row r="116" spans="1:31">
      <c r="A116" s="872" t="s">
        <v>214</v>
      </c>
      <c r="B116" s="70"/>
      <c r="C116" s="1222"/>
      <c r="D116" s="1223"/>
      <c r="E116" s="1224"/>
      <c r="F116" s="1225"/>
      <c r="G116" s="1226"/>
      <c r="H116" s="1227"/>
      <c r="I116" s="409">
        <f t="shared" si="1"/>
        <v>0</v>
      </c>
      <c r="J116" s="63"/>
      <c r="K116" s="86" t="s">
        <v>237</v>
      </c>
      <c r="L116" s="117"/>
      <c r="M116" s="87"/>
      <c r="N116" s="874">
        <v>12</v>
      </c>
      <c r="O116" s="63"/>
      <c r="P116" s="63"/>
      <c r="Q116" s="63"/>
      <c r="R116" s="63"/>
      <c r="S116" s="63"/>
      <c r="T116" s="63"/>
      <c r="U116" s="63"/>
      <c r="V116" s="63"/>
      <c r="W116" s="63"/>
      <c r="X116" s="63"/>
      <c r="Y116" s="63"/>
      <c r="Z116" s="63"/>
      <c r="AA116" s="63"/>
      <c r="AB116" s="63"/>
      <c r="AC116" s="63"/>
      <c r="AD116" s="63"/>
      <c r="AE116" s="63"/>
    </row>
    <row r="117" spans="1:31">
      <c r="A117" s="872" t="s">
        <v>215</v>
      </c>
      <c r="B117" s="70"/>
      <c r="C117" s="1222"/>
      <c r="D117" s="1223"/>
      <c r="E117" s="1224"/>
      <c r="F117" s="1225"/>
      <c r="G117" s="1226"/>
      <c r="H117" s="1227"/>
      <c r="I117" s="409">
        <f t="shared" si="1"/>
        <v>0</v>
      </c>
      <c r="J117" s="63"/>
      <c r="K117" s="63"/>
      <c r="L117" s="63"/>
      <c r="M117" s="63"/>
      <c r="N117" s="401" t="str">
        <f>IF(OR(N116&lt;1,N116&gt;12),"Falsche Eingabe","")</f>
        <v/>
      </c>
      <c r="O117" s="63"/>
      <c r="P117" s="63"/>
      <c r="Q117" s="63"/>
      <c r="R117" s="63"/>
      <c r="S117" s="63"/>
      <c r="T117" s="63"/>
      <c r="U117" s="63"/>
      <c r="V117" s="63"/>
      <c r="W117" s="63"/>
      <c r="X117" s="63"/>
      <c r="Y117" s="63"/>
      <c r="Z117" s="63"/>
      <c r="AA117" s="63"/>
      <c r="AB117" s="63"/>
      <c r="AC117" s="63"/>
      <c r="AD117" s="63"/>
      <c r="AE117" s="63"/>
    </row>
    <row r="118" spans="1:31">
      <c r="A118" s="872" t="s">
        <v>216</v>
      </c>
      <c r="B118" s="70"/>
      <c r="C118" s="1222"/>
      <c r="D118" s="1223"/>
      <c r="E118" s="1224"/>
      <c r="F118" s="1225"/>
      <c r="G118" s="1226"/>
      <c r="H118" s="1227"/>
      <c r="I118" s="409">
        <f t="shared" si="1"/>
        <v>0</v>
      </c>
      <c r="J118" s="63"/>
      <c r="K118" s="63"/>
      <c r="L118" s="63"/>
      <c r="M118" s="63"/>
      <c r="N118" s="63"/>
      <c r="O118" s="63"/>
      <c r="P118" s="63"/>
      <c r="Q118" s="63"/>
      <c r="R118" s="63"/>
      <c r="S118" s="63"/>
      <c r="T118" s="63"/>
      <c r="U118" s="63"/>
      <c r="V118" s="63"/>
      <c r="W118" s="63"/>
      <c r="X118" s="63"/>
      <c r="Y118" s="63"/>
      <c r="Z118" s="63"/>
      <c r="AA118" s="63"/>
      <c r="AB118" s="63"/>
      <c r="AC118" s="63"/>
      <c r="AD118" s="63"/>
      <c r="AE118" s="63"/>
    </row>
    <row r="119" spans="1:31">
      <c r="A119" s="872" t="s">
        <v>217</v>
      </c>
      <c r="B119" s="70"/>
      <c r="C119" s="1222"/>
      <c r="D119" s="1223"/>
      <c r="E119" s="1224"/>
      <c r="F119" s="1225"/>
      <c r="G119" s="1226"/>
      <c r="H119" s="1227"/>
      <c r="I119" s="409">
        <f t="shared" si="1"/>
        <v>0</v>
      </c>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c r="A120" s="872" t="s">
        <v>218</v>
      </c>
      <c r="B120" s="70"/>
      <c r="C120" s="1222"/>
      <c r="D120" s="1223"/>
      <c r="E120" s="1224"/>
      <c r="F120" s="1225"/>
      <c r="G120" s="1226"/>
      <c r="H120" s="1227"/>
      <c r="I120" s="409">
        <f t="shared" si="1"/>
        <v>0</v>
      </c>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c r="A121" s="872" t="s">
        <v>219</v>
      </c>
      <c r="B121" s="70"/>
      <c r="C121" s="1222"/>
      <c r="D121" s="1223"/>
      <c r="E121" s="1224"/>
      <c r="F121" s="1225"/>
      <c r="G121" s="1226"/>
      <c r="H121" s="1227"/>
      <c r="I121" s="409">
        <f t="shared" si="1"/>
        <v>0</v>
      </c>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c r="A122" s="872" t="s">
        <v>220</v>
      </c>
      <c r="B122" s="63"/>
      <c r="C122" s="1222"/>
      <c r="D122" s="1223"/>
      <c r="E122" s="1224"/>
      <c r="F122" s="1225"/>
      <c r="G122" s="1226"/>
      <c r="H122" s="1227"/>
      <c r="I122" s="409">
        <f t="shared" si="1"/>
        <v>0</v>
      </c>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ht="13.8" thickBot="1">
      <c r="A123" s="873" t="s">
        <v>221</v>
      </c>
      <c r="B123" s="567"/>
      <c r="C123" s="1222"/>
      <c r="D123" s="1223"/>
      <c r="E123" s="1224"/>
      <c r="F123" s="1225"/>
      <c r="G123" s="1226"/>
      <c r="H123" s="1227"/>
      <c r="I123" s="568">
        <f t="shared" si="1"/>
        <v>0</v>
      </c>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ht="15.6">
      <c r="A124" s="569" t="str">
        <f>IF(C113="Jahr","erwarteter Jahresumsatz in EUR",IF(C113="Monat","erwarteter Monatsumsatz in EUR",IF(C113="Woche","erwarteter Wochenumsatz in EUR",IF(C113="Tag","erwarteter Tagesumsatz in EUR"))))</f>
        <v>erwarteter Monatsumsatz in EUR</v>
      </c>
      <c r="B124" s="570"/>
      <c r="C124" s="571"/>
      <c r="D124" s="571"/>
      <c r="E124" s="571"/>
      <c r="F124" s="570"/>
      <c r="G124" s="570"/>
      <c r="H124" s="570"/>
      <c r="I124" s="572">
        <f>SUM(I114:I123)</f>
        <v>0</v>
      </c>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ht="15.6">
      <c r="A125" s="573" t="s">
        <v>212</v>
      </c>
      <c r="B125" s="574"/>
      <c r="C125" s="1270">
        <f>SUM(C114:E123)</f>
        <v>0</v>
      </c>
      <c r="D125" s="1270"/>
      <c r="E125" s="1271"/>
      <c r="F125" s="574"/>
      <c r="G125" s="574"/>
      <c r="H125" s="574"/>
      <c r="I125" s="575"/>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ht="15.6">
      <c r="A126" s="63"/>
      <c r="B126" s="116"/>
      <c r="C126" s="116"/>
      <c r="D126" s="116"/>
      <c r="E126" s="116"/>
      <c r="F126" s="116"/>
      <c r="G126" s="116"/>
      <c r="H126" s="116"/>
      <c r="I126" s="540"/>
      <c r="J126" s="63"/>
      <c r="K126" s="63"/>
      <c r="L126" s="63"/>
      <c r="M126" s="116"/>
      <c r="N126" s="63"/>
      <c r="O126" s="63"/>
      <c r="P126" s="63"/>
      <c r="Q126" s="63"/>
      <c r="R126" s="63"/>
      <c r="S126" s="63"/>
      <c r="T126" s="63"/>
      <c r="U126" s="63"/>
      <c r="V126" s="63"/>
      <c r="W126" s="63"/>
      <c r="X126" s="63"/>
      <c r="Y126" s="63"/>
      <c r="Z126" s="63"/>
      <c r="AA126" s="63"/>
      <c r="AB126" s="63"/>
      <c r="AC126" s="63"/>
      <c r="AD126" s="63"/>
      <c r="AE126" s="63"/>
    </row>
    <row r="127" spans="1:31" ht="15.6">
      <c r="A127" s="63"/>
      <c r="B127" s="116"/>
      <c r="C127" s="116"/>
      <c r="D127" s="116"/>
      <c r="E127" s="116"/>
      <c r="F127" s="116"/>
      <c r="G127" s="116"/>
      <c r="H127" s="116"/>
      <c r="I127" s="540"/>
      <c r="J127" s="63"/>
      <c r="K127" s="63"/>
      <c r="L127" s="63"/>
      <c r="M127" s="116"/>
      <c r="N127" s="63"/>
      <c r="O127" s="63"/>
      <c r="P127" s="63"/>
      <c r="Q127" s="63"/>
      <c r="R127" s="63"/>
      <c r="S127" s="63"/>
      <c r="T127" s="63"/>
      <c r="U127" s="63"/>
      <c r="V127" s="63"/>
      <c r="W127" s="63"/>
      <c r="X127" s="63"/>
      <c r="Y127" s="63"/>
      <c r="Z127" s="63"/>
      <c r="AA127" s="63"/>
      <c r="AB127" s="63"/>
      <c r="AC127" s="63"/>
      <c r="AD127" s="63"/>
      <c r="AE127" s="63"/>
    </row>
    <row r="128" spans="1:31" ht="43.5" customHeight="1">
      <c r="A128" s="1272" t="s">
        <v>207</v>
      </c>
      <c r="B128" s="1117" t="s">
        <v>222</v>
      </c>
      <c r="C128" s="1274"/>
      <c r="D128" s="1261" t="str">
        <f>IF(B$129="Jahr","Jahresumsatz",IF(B$129="Monat","Monatsumsatz",IF(B$129="Woche","Wochenumsatz",IF(B$129="Tag","Tagesumsatz"))))</f>
        <v>Tagesumsatz</v>
      </c>
      <c r="E128" s="1262"/>
      <c r="F128" s="1117" t="s">
        <v>222</v>
      </c>
      <c r="G128" s="1275"/>
      <c r="H128" s="1261" t="str">
        <f>IF(F$129="Jahr","Jahresumsatz",IF(F$129="Monat","Monatsumsatz",IF(F$129="Woche","Wochenumsatz",IF(F$129="Tag","Tagesumsatz"))))</f>
        <v>Wochenumsatz</v>
      </c>
      <c r="I128" s="1262"/>
      <c r="J128" s="1117" t="s">
        <v>222</v>
      </c>
      <c r="K128" s="1274"/>
      <c r="L128" s="1261" t="str">
        <f>IF(J$129="Jahr","Jahresumsatz",IF(J$129="Monat","Monatsumsatz",IF(J$129="Woche","Wochenumsatz",IF(J$129="Tag","Tagesumsatz"))))</f>
        <v>Jahresumsatz</v>
      </c>
      <c r="M128" s="1262"/>
      <c r="N128" s="63"/>
      <c r="O128" s="63"/>
      <c r="P128" s="63"/>
      <c r="Q128" s="63"/>
      <c r="R128" s="63"/>
      <c r="S128" s="63"/>
      <c r="T128" s="63"/>
      <c r="U128" s="63"/>
      <c r="V128" s="63"/>
      <c r="W128" s="63"/>
      <c r="X128" s="63"/>
      <c r="Y128" s="63"/>
      <c r="Z128" s="63"/>
      <c r="AA128" s="63"/>
      <c r="AB128" s="63"/>
      <c r="AC128" s="63"/>
      <c r="AD128" s="63"/>
      <c r="AE128" s="63"/>
    </row>
    <row r="129" spans="1:31">
      <c r="A129" s="1273"/>
      <c r="B129" s="1263" t="str">
        <f>IF($C$113="Jahr","Monat",IF($C$113="Monat","Tag",IF($C$113="Woche","Tag",IF($C$113="Tag","Woche","Falsch in C80"))))</f>
        <v>Tag</v>
      </c>
      <c r="C129" s="1269"/>
      <c r="D129" s="1267" t="s">
        <v>210</v>
      </c>
      <c r="E129" s="1268"/>
      <c r="F129" s="1263" t="str">
        <f>IF($C113="Jahr","Woche",IF($C113="Monat","Woche",IF($C113="Woche","Monat",IF($C113="Tag","Monat","Falsch in C80"))))</f>
        <v>Woche</v>
      </c>
      <c r="G129" s="1269"/>
      <c r="H129" s="1267" t="s">
        <v>210</v>
      </c>
      <c r="I129" s="1268"/>
      <c r="J129" s="1263" t="str">
        <f>IF($C113="Jahr","Tag",IF($C113="Monat","Jahr",IF($C113="Woche","Jahr",IF($C113="Tag","Jahr","Falsch in C80"))))</f>
        <v>Jahr</v>
      </c>
      <c r="K129" s="1264"/>
      <c r="L129" s="1265" t="s">
        <v>210</v>
      </c>
      <c r="M129" s="1266"/>
      <c r="N129" s="63"/>
      <c r="O129" s="63"/>
      <c r="P129" s="63"/>
      <c r="Q129" s="63"/>
      <c r="R129" s="63"/>
      <c r="S129" s="63"/>
      <c r="T129" s="63"/>
      <c r="U129" s="63"/>
      <c r="V129" s="63"/>
      <c r="W129" s="63"/>
      <c r="X129" s="63"/>
      <c r="Y129" s="63"/>
      <c r="Z129" s="63"/>
      <c r="AA129" s="63"/>
      <c r="AB129" s="63"/>
      <c r="AC129" s="63"/>
      <c r="AD129" s="63"/>
      <c r="AE129" s="63"/>
    </row>
    <row r="130" spans="1:31">
      <c r="A130" s="372" t="str">
        <f t="shared" ref="A130:A139" si="2">A114</f>
        <v>Umsatzbereich 1</v>
      </c>
      <c r="B130" s="1278">
        <f>IF($C$113="Jahr",$C114/N$116,IF($C$113="Monat",$C114/(4.33*N$114),IF($C$113="Woche",$C114/N$114,IF($C$113="Tag",$C114*N$114,"Falsch in C111"))))</f>
        <v>0</v>
      </c>
      <c r="C130" s="1279"/>
      <c r="D130" s="1276">
        <f>ROUND($F114*B130,0)</f>
        <v>0</v>
      </c>
      <c r="E130" s="1277"/>
      <c r="F130" s="1278">
        <f>IF($C$113="Jahr",$C114/(N$116*4.33),IF($C$113="Monat",$C114/4.33,IF($C$113="Woche",$C114*4.33,IF($C$113="Tag",B130*4.33,"Falsch in C111"))))</f>
        <v>0</v>
      </c>
      <c r="G130" s="1279"/>
      <c r="H130" s="1276">
        <f>ROUND($F114*F130,0)</f>
        <v>0</v>
      </c>
      <c r="I130" s="1277"/>
      <c r="J130" s="1278">
        <f>IF($C$113="Jahr",F130/N$114,IF($C$113="Monat",$C114*N$116,IF($C$113="Woche",F130*N$116,IF($C$113="Tag",F130*N$116,"Falsch in C111"))))</f>
        <v>0</v>
      </c>
      <c r="K130" s="1279"/>
      <c r="L130" s="1280">
        <f t="shared" ref="L130:L139" si="3">ROUND($F114*J130,0)</f>
        <v>0</v>
      </c>
      <c r="M130" s="1281"/>
      <c r="N130" s="63"/>
      <c r="O130" s="63"/>
      <c r="P130" s="63"/>
      <c r="Q130" s="63"/>
      <c r="R130" s="63"/>
      <c r="S130" s="63"/>
      <c r="T130" s="63"/>
      <c r="U130" s="63"/>
      <c r="V130" s="63"/>
      <c r="W130" s="63"/>
      <c r="X130" s="63"/>
      <c r="Y130" s="63"/>
      <c r="Z130" s="63"/>
      <c r="AA130" s="63"/>
      <c r="AB130" s="63"/>
      <c r="AC130" s="63"/>
      <c r="AD130" s="63"/>
      <c r="AE130" s="63"/>
    </row>
    <row r="131" spans="1:31">
      <c r="A131" s="92" t="str">
        <f t="shared" si="2"/>
        <v>Umsatzbereich 2</v>
      </c>
      <c r="B131" s="1278">
        <f t="shared" ref="B131:B139" si="4">IF($C$113="Jahr",$C115/N$116,IF($C$113="Monat",$C115/(4.33*N$114),IF($C$113="Woche",$C115/N$114,IF($C$113="Tag",$C115*N$114,"Falsch in C111"))))</f>
        <v>0</v>
      </c>
      <c r="C131" s="1279"/>
      <c r="D131" s="1276">
        <f>ROUND($F115*B131,0)</f>
        <v>0</v>
      </c>
      <c r="E131" s="1277"/>
      <c r="F131" s="1278">
        <f t="shared" ref="F131:F139" si="5">IF($C$113="Jahr",$C115/(N$116*4.33),IF($C$113="Monat",$C115/4.33,IF($C$113="Woche",$C115*4.33,IF($C$113="Tag",B131*4.33,"Falsch in C111"))))</f>
        <v>0</v>
      </c>
      <c r="G131" s="1279"/>
      <c r="H131" s="1276">
        <f t="shared" ref="H131:H138" si="6">ROUND($F115*F131,0)</f>
        <v>0</v>
      </c>
      <c r="I131" s="1277"/>
      <c r="J131" s="1278">
        <f t="shared" ref="J131:J139" si="7">IF($C$113="Jahr",F131/N$114,IF($C$113="Monat",$C115*N$116,IF($C$113="Woche",F131*N$116,IF($C$113="Tag",F131*N$116,"Falsch in C111"))))</f>
        <v>0</v>
      </c>
      <c r="K131" s="1279"/>
      <c r="L131" s="1276">
        <f t="shared" si="3"/>
        <v>0</v>
      </c>
      <c r="M131" s="1277"/>
      <c r="N131" s="63"/>
      <c r="O131" s="63"/>
      <c r="P131" s="63"/>
      <c r="Q131" s="63"/>
      <c r="R131" s="63"/>
      <c r="S131" s="63"/>
      <c r="T131" s="63"/>
      <c r="U131" s="63"/>
      <c r="V131" s="63"/>
      <c r="W131" s="63"/>
      <c r="X131" s="63"/>
      <c r="Y131" s="63"/>
      <c r="Z131" s="63"/>
      <c r="AA131" s="63"/>
      <c r="AB131" s="63"/>
      <c r="AC131" s="63"/>
      <c r="AD131" s="63"/>
      <c r="AE131" s="63"/>
    </row>
    <row r="132" spans="1:31">
      <c r="A132" s="92" t="str">
        <f t="shared" si="2"/>
        <v>Umsatzbereich 3</v>
      </c>
      <c r="B132" s="1278">
        <f t="shared" si="4"/>
        <v>0</v>
      </c>
      <c r="C132" s="1279"/>
      <c r="D132" s="1276">
        <f t="shared" ref="D132:D138" si="8">ROUND($F116*B132,0)</f>
        <v>0</v>
      </c>
      <c r="E132" s="1277"/>
      <c r="F132" s="1278">
        <f t="shared" si="5"/>
        <v>0</v>
      </c>
      <c r="G132" s="1279"/>
      <c r="H132" s="1276">
        <f t="shared" si="6"/>
        <v>0</v>
      </c>
      <c r="I132" s="1277"/>
      <c r="J132" s="1278">
        <f t="shared" si="7"/>
        <v>0</v>
      </c>
      <c r="K132" s="1279"/>
      <c r="L132" s="1276">
        <f t="shared" si="3"/>
        <v>0</v>
      </c>
      <c r="M132" s="1277"/>
      <c r="N132" s="63"/>
      <c r="O132" s="63"/>
      <c r="P132" s="63"/>
      <c r="Q132" s="63"/>
      <c r="R132" s="63"/>
      <c r="S132" s="63"/>
      <c r="T132" s="63"/>
      <c r="U132" s="63"/>
      <c r="V132" s="63"/>
      <c r="W132" s="63"/>
      <c r="X132" s="63"/>
      <c r="Y132" s="63"/>
      <c r="Z132" s="63"/>
      <c r="AA132" s="63"/>
      <c r="AB132" s="63"/>
      <c r="AC132" s="63"/>
      <c r="AD132" s="63"/>
      <c r="AE132" s="63"/>
    </row>
    <row r="133" spans="1:31">
      <c r="A133" s="92" t="str">
        <f t="shared" si="2"/>
        <v>Umsatzbereich 4</v>
      </c>
      <c r="B133" s="1278">
        <f t="shared" si="4"/>
        <v>0</v>
      </c>
      <c r="C133" s="1279"/>
      <c r="D133" s="1276">
        <f t="shared" si="8"/>
        <v>0</v>
      </c>
      <c r="E133" s="1277"/>
      <c r="F133" s="1278">
        <f t="shared" si="5"/>
        <v>0</v>
      </c>
      <c r="G133" s="1279"/>
      <c r="H133" s="1276">
        <f t="shared" si="6"/>
        <v>0</v>
      </c>
      <c r="I133" s="1277"/>
      <c r="J133" s="1278">
        <f t="shared" si="7"/>
        <v>0</v>
      </c>
      <c r="K133" s="1279"/>
      <c r="L133" s="1276">
        <f t="shared" si="3"/>
        <v>0</v>
      </c>
      <c r="M133" s="1277"/>
      <c r="N133" s="63"/>
      <c r="O133" s="63"/>
      <c r="P133" s="63"/>
      <c r="Q133" s="63"/>
      <c r="R133" s="63"/>
      <c r="S133" s="63"/>
      <c r="T133" s="63"/>
      <c r="U133" s="63"/>
      <c r="V133" s="63"/>
      <c r="W133" s="63"/>
      <c r="X133" s="63"/>
      <c r="Y133" s="63"/>
      <c r="Z133" s="63"/>
      <c r="AA133" s="63"/>
      <c r="AB133" s="63"/>
      <c r="AC133" s="63"/>
      <c r="AD133" s="63"/>
      <c r="AE133" s="63"/>
    </row>
    <row r="134" spans="1:31">
      <c r="A134" s="92" t="str">
        <f t="shared" si="2"/>
        <v>Umsatzbereich 5</v>
      </c>
      <c r="B134" s="1278">
        <f t="shared" si="4"/>
        <v>0</v>
      </c>
      <c r="C134" s="1279"/>
      <c r="D134" s="1276">
        <f t="shared" si="8"/>
        <v>0</v>
      </c>
      <c r="E134" s="1277"/>
      <c r="F134" s="1278">
        <f t="shared" si="5"/>
        <v>0</v>
      </c>
      <c r="G134" s="1279"/>
      <c r="H134" s="1276">
        <f t="shared" si="6"/>
        <v>0</v>
      </c>
      <c r="I134" s="1277"/>
      <c r="J134" s="1278">
        <f t="shared" si="7"/>
        <v>0</v>
      </c>
      <c r="K134" s="1279"/>
      <c r="L134" s="1276">
        <f t="shared" si="3"/>
        <v>0</v>
      </c>
      <c r="M134" s="1277"/>
      <c r="N134" s="63"/>
      <c r="O134" s="63"/>
      <c r="P134" s="63"/>
      <c r="Q134" s="63"/>
      <c r="R134" s="63"/>
      <c r="S134" s="63"/>
      <c r="T134" s="63"/>
      <c r="U134" s="63"/>
      <c r="V134" s="63"/>
      <c r="W134" s="63"/>
      <c r="X134" s="63"/>
      <c r="Y134" s="63"/>
      <c r="Z134" s="63"/>
      <c r="AA134" s="63"/>
      <c r="AB134" s="63"/>
      <c r="AC134" s="63"/>
      <c r="AD134" s="63"/>
      <c r="AE134" s="63"/>
    </row>
    <row r="135" spans="1:31">
      <c r="A135" s="92" t="str">
        <f t="shared" si="2"/>
        <v>Umsatzbereich 6</v>
      </c>
      <c r="B135" s="1278">
        <f t="shared" si="4"/>
        <v>0</v>
      </c>
      <c r="C135" s="1279"/>
      <c r="D135" s="1276">
        <f t="shared" si="8"/>
        <v>0</v>
      </c>
      <c r="E135" s="1277"/>
      <c r="F135" s="1278">
        <f t="shared" si="5"/>
        <v>0</v>
      </c>
      <c r="G135" s="1279"/>
      <c r="H135" s="1276">
        <f t="shared" si="6"/>
        <v>0</v>
      </c>
      <c r="I135" s="1277"/>
      <c r="J135" s="1278">
        <f t="shared" si="7"/>
        <v>0</v>
      </c>
      <c r="K135" s="1279"/>
      <c r="L135" s="1276">
        <f t="shared" si="3"/>
        <v>0</v>
      </c>
      <c r="M135" s="1277"/>
      <c r="N135" s="63"/>
      <c r="O135" s="63"/>
      <c r="P135" s="63"/>
      <c r="Q135" s="63"/>
      <c r="R135" s="63"/>
      <c r="S135" s="63"/>
      <c r="T135" s="63"/>
      <c r="U135" s="63"/>
      <c r="V135" s="63"/>
      <c r="W135" s="63"/>
      <c r="X135" s="63"/>
      <c r="Y135" s="63"/>
      <c r="Z135" s="63"/>
      <c r="AA135" s="63"/>
      <c r="AB135" s="63"/>
      <c r="AC135" s="63"/>
      <c r="AD135" s="63"/>
      <c r="AE135" s="63"/>
    </row>
    <row r="136" spans="1:31">
      <c r="A136" s="92" t="str">
        <f t="shared" si="2"/>
        <v>Umsatzbereich 7</v>
      </c>
      <c r="B136" s="1278">
        <f t="shared" si="4"/>
        <v>0</v>
      </c>
      <c r="C136" s="1279"/>
      <c r="D136" s="1276">
        <f t="shared" si="8"/>
        <v>0</v>
      </c>
      <c r="E136" s="1277"/>
      <c r="F136" s="1278">
        <f t="shared" si="5"/>
        <v>0</v>
      </c>
      <c r="G136" s="1279"/>
      <c r="H136" s="1276">
        <f t="shared" si="6"/>
        <v>0</v>
      </c>
      <c r="I136" s="1277"/>
      <c r="J136" s="1278">
        <f t="shared" si="7"/>
        <v>0</v>
      </c>
      <c r="K136" s="1279"/>
      <c r="L136" s="1276">
        <f t="shared" si="3"/>
        <v>0</v>
      </c>
      <c r="M136" s="1277"/>
      <c r="N136" s="63"/>
      <c r="O136" s="63"/>
      <c r="P136" s="63"/>
      <c r="Q136" s="63"/>
      <c r="R136" s="63"/>
      <c r="S136" s="63"/>
      <c r="T136" s="63"/>
      <c r="U136" s="63"/>
      <c r="V136" s="63"/>
      <c r="W136" s="63"/>
      <c r="X136" s="63"/>
      <c r="Y136" s="63"/>
      <c r="Z136" s="63"/>
      <c r="AA136" s="63"/>
      <c r="AB136" s="63"/>
      <c r="AC136" s="63"/>
      <c r="AD136" s="63"/>
      <c r="AE136" s="63"/>
    </row>
    <row r="137" spans="1:31">
      <c r="A137" s="92" t="str">
        <f t="shared" si="2"/>
        <v>Umsatzbereich 8</v>
      </c>
      <c r="B137" s="1278">
        <f t="shared" si="4"/>
        <v>0</v>
      </c>
      <c r="C137" s="1279"/>
      <c r="D137" s="1276">
        <f t="shared" si="8"/>
        <v>0</v>
      </c>
      <c r="E137" s="1277"/>
      <c r="F137" s="1278">
        <f t="shared" si="5"/>
        <v>0</v>
      </c>
      <c r="G137" s="1279"/>
      <c r="H137" s="1276">
        <f t="shared" si="6"/>
        <v>0</v>
      </c>
      <c r="I137" s="1277"/>
      <c r="J137" s="1278">
        <f t="shared" si="7"/>
        <v>0</v>
      </c>
      <c r="K137" s="1279"/>
      <c r="L137" s="1276">
        <f t="shared" si="3"/>
        <v>0</v>
      </c>
      <c r="M137" s="1277"/>
      <c r="N137" s="63"/>
      <c r="O137" s="63"/>
      <c r="P137" s="63"/>
      <c r="Q137" s="63"/>
      <c r="R137" s="63"/>
      <c r="S137" s="63"/>
      <c r="T137" s="63"/>
      <c r="U137" s="63"/>
      <c r="V137" s="63"/>
      <c r="W137" s="63"/>
      <c r="X137" s="63"/>
      <c r="Y137" s="63"/>
      <c r="Z137" s="63"/>
      <c r="AA137" s="63"/>
      <c r="AB137" s="63"/>
      <c r="AC137" s="63"/>
      <c r="AD137" s="63"/>
      <c r="AE137" s="63"/>
    </row>
    <row r="138" spans="1:31">
      <c r="A138" s="92" t="str">
        <f t="shared" si="2"/>
        <v>Umsatzbereich 9</v>
      </c>
      <c r="B138" s="1278">
        <f t="shared" si="4"/>
        <v>0</v>
      </c>
      <c r="C138" s="1279"/>
      <c r="D138" s="1276">
        <f t="shared" si="8"/>
        <v>0</v>
      </c>
      <c r="E138" s="1277"/>
      <c r="F138" s="1278">
        <f t="shared" si="5"/>
        <v>0</v>
      </c>
      <c r="G138" s="1279"/>
      <c r="H138" s="1276">
        <f t="shared" si="6"/>
        <v>0</v>
      </c>
      <c r="I138" s="1277"/>
      <c r="J138" s="1278">
        <f t="shared" si="7"/>
        <v>0</v>
      </c>
      <c r="K138" s="1279"/>
      <c r="L138" s="1276">
        <f t="shared" si="3"/>
        <v>0</v>
      </c>
      <c r="M138" s="1277"/>
      <c r="N138" s="63"/>
      <c r="O138" s="63"/>
      <c r="P138" s="63"/>
      <c r="Q138" s="63"/>
      <c r="R138" s="63"/>
      <c r="S138" s="63"/>
      <c r="T138" s="63"/>
      <c r="U138" s="63"/>
      <c r="V138" s="63"/>
      <c r="W138" s="63"/>
      <c r="X138" s="63"/>
      <c r="Y138" s="63"/>
      <c r="Z138" s="63"/>
      <c r="AA138" s="63"/>
      <c r="AB138" s="63"/>
      <c r="AC138" s="63"/>
      <c r="AD138" s="63"/>
      <c r="AE138" s="63"/>
    </row>
    <row r="139" spans="1:31" ht="13.8" thickBot="1">
      <c r="A139" s="92" t="str">
        <f t="shared" si="2"/>
        <v>Umsatzbereich 10</v>
      </c>
      <c r="B139" s="1282">
        <f t="shared" si="4"/>
        <v>0</v>
      </c>
      <c r="C139" s="1283"/>
      <c r="D139" s="1276">
        <f>ROUND($F123*B139,0)</f>
        <v>0</v>
      </c>
      <c r="E139" s="1277"/>
      <c r="F139" s="1282">
        <f t="shared" si="5"/>
        <v>0</v>
      </c>
      <c r="G139" s="1283"/>
      <c r="H139" s="1276">
        <f>ROUND($F123*F139,0)</f>
        <v>0</v>
      </c>
      <c r="I139" s="1277"/>
      <c r="J139" s="1282">
        <f t="shared" si="7"/>
        <v>0</v>
      </c>
      <c r="K139" s="1283"/>
      <c r="L139" s="1284">
        <f t="shared" si="3"/>
        <v>0</v>
      </c>
      <c r="M139" s="1285"/>
      <c r="N139" s="63"/>
      <c r="O139" s="63"/>
      <c r="P139" s="63"/>
      <c r="Q139" s="63"/>
      <c r="R139" s="63"/>
      <c r="S139" s="63"/>
      <c r="T139" s="63"/>
      <c r="U139" s="63"/>
      <c r="V139" s="63"/>
      <c r="W139" s="63"/>
      <c r="X139" s="63"/>
      <c r="Y139" s="63"/>
      <c r="Z139" s="63"/>
      <c r="AA139" s="63"/>
      <c r="AB139" s="63"/>
      <c r="AC139" s="63"/>
      <c r="AD139" s="63"/>
      <c r="AE139" s="63"/>
    </row>
    <row r="140" spans="1:31" ht="16.2" thickBot="1">
      <c r="A140" s="576" t="s">
        <v>211</v>
      </c>
      <c r="B140" s="1297"/>
      <c r="C140" s="1298"/>
      <c r="D140" s="1299">
        <f>SUM(D130:E139)</f>
        <v>0</v>
      </c>
      <c r="E140" s="1300"/>
      <c r="F140" s="1301"/>
      <c r="G140" s="1302"/>
      <c r="H140" s="1299">
        <f>SUM(H130:I139)</f>
        <v>0</v>
      </c>
      <c r="I140" s="1300"/>
      <c r="J140" s="1301"/>
      <c r="K140" s="1302"/>
      <c r="L140" s="1303">
        <f>SUM(L130:M139)</f>
        <v>0</v>
      </c>
      <c r="M140" s="1304"/>
      <c r="N140" s="63"/>
      <c r="O140" s="63"/>
      <c r="P140" s="63"/>
      <c r="Q140" s="63"/>
      <c r="R140" s="63"/>
      <c r="S140" s="63"/>
      <c r="T140" s="63"/>
      <c r="U140" s="63"/>
      <c r="V140" s="63"/>
      <c r="W140" s="63"/>
      <c r="X140" s="63"/>
      <c r="Y140" s="63"/>
      <c r="Z140" s="63"/>
      <c r="AA140" s="63"/>
      <c r="AB140" s="63"/>
      <c r="AC140" s="63"/>
      <c r="AD140" s="63"/>
      <c r="AE140" s="63"/>
    </row>
    <row r="141" spans="1:31" ht="15.6">
      <c r="A141" s="577" t="s">
        <v>212</v>
      </c>
      <c r="B141" s="1293">
        <f>SUM(B130:C139)</f>
        <v>0</v>
      </c>
      <c r="C141" s="1294"/>
      <c r="D141" s="578"/>
      <c r="E141" s="579"/>
      <c r="F141" s="1293">
        <f>SUM(F130:G139)</f>
        <v>0</v>
      </c>
      <c r="G141" s="1294"/>
      <c r="H141" s="578"/>
      <c r="I141" s="579"/>
      <c r="J141" s="1295" t="str">
        <f>IF(SUM(J130:K139)&lt;0.01,"",SUM(J130:K139))</f>
        <v/>
      </c>
      <c r="K141" s="1296"/>
      <c r="L141" s="354"/>
      <c r="M141" s="221"/>
      <c r="N141" s="63"/>
      <c r="O141" s="63"/>
      <c r="P141" s="63"/>
      <c r="Q141" s="63"/>
      <c r="R141" s="63"/>
      <c r="S141" s="63"/>
      <c r="T141" s="63"/>
      <c r="U141" s="63"/>
      <c r="V141" s="63"/>
      <c r="W141" s="63"/>
      <c r="X141" s="63"/>
      <c r="Y141" s="63"/>
      <c r="Z141" s="63"/>
      <c r="AA141" s="63"/>
      <c r="AB141" s="63"/>
      <c r="AC141" s="63"/>
      <c r="AD141" s="63"/>
      <c r="AE141" s="63"/>
    </row>
    <row r="142" spans="1:3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971"/>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971"/>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971"/>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971"/>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971"/>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971"/>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971"/>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971"/>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971" t="s">
        <v>542</v>
      </c>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c r="A171" s="971" t="s">
        <v>521</v>
      </c>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c r="A172" s="971" t="s">
        <v>129</v>
      </c>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c r="A173" s="971" t="s">
        <v>543</v>
      </c>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c r="A174" s="971"/>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c r="A175" s="971"/>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c r="A176" s="971"/>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c r="A177" s="971"/>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row>
    <row r="178" spans="1:31">
      <c r="A178" s="971"/>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c r="A179" s="971"/>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row>
    <row r="180" spans="1:3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row>
    <row r="181" spans="1:3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row>
    <row r="182" spans="1:3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row>
    <row r="183" spans="1:3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row>
    <row r="184" spans="1:3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row>
    <row r="193" spans="1:3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row>
    <row r="194" spans="1:3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row>
    <row r="195" spans="1:3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row>
    <row r="196" spans="1:3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row>
    <row r="197" spans="1:3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row>
    <row r="198" spans="1:3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row>
    <row r="199" spans="1:3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row>
    <row r="200" spans="1:3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row>
    <row r="201" spans="1:3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row>
    <row r="202" spans="1:3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row>
    <row r="203" spans="1:3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row>
    <row r="204" spans="1:3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row>
    <row r="205" spans="1:3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row>
    <row r="206" spans="1:3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row>
    <row r="207" spans="1:3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row>
    <row r="208" spans="1:3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row>
    <row r="209" spans="1:3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row>
    <row r="210" spans="1:3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row>
    <row r="211" spans="1:3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row>
    <row r="212" spans="1:3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row>
    <row r="213" spans="1:3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row>
    <row r="214" spans="1:3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row>
    <row r="215" spans="1:3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row>
    <row r="216" spans="1:3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row>
    <row r="217" spans="1:3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row>
    <row r="218" spans="1:3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row>
    <row r="219" spans="1:3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row>
    <row r="220" spans="1:3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row>
    <row r="221" spans="1:3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row>
    <row r="222" spans="1:3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row>
    <row r="223" spans="1:3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row>
    <row r="224" spans="1:3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row>
    <row r="225" spans="1:3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row>
    <row r="226" spans="1:3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row>
    <row r="227" spans="1:3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row>
    <row r="228" spans="1:3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row>
    <row r="229" spans="1:3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row>
    <row r="230" spans="1:3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row>
    <row r="231" spans="1:3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row>
    <row r="232" spans="1:3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row>
    <row r="233" spans="1:3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row>
    <row r="234" spans="1:3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row>
    <row r="235" spans="1:3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row>
    <row r="236" spans="1:3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row>
    <row r="237" spans="1:3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row>
    <row r="238" spans="1:3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row>
    <row r="239" spans="1:3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row>
    <row r="240" spans="1:3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row>
    <row r="241" spans="1:3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row>
    <row r="242" spans="1:3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row>
    <row r="243" spans="1:3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row>
    <row r="244" spans="1:3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row>
    <row r="245" spans="1:3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row>
    <row r="246" spans="1:3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row>
    <row r="247" spans="1:3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row>
    <row r="248" spans="1:3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row>
    <row r="249" spans="1:3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row>
    <row r="250" spans="1:3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row>
    <row r="251" spans="1:3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row>
    <row r="252" spans="1:3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row>
    <row r="253" spans="1:3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row>
    <row r="254" spans="1:3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row>
    <row r="255" spans="1:3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row>
    <row r="256" spans="1:3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row>
    <row r="257" spans="1:3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row>
    <row r="258" spans="1:3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row>
    <row r="259" spans="1:3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row>
    <row r="260" spans="1:3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row>
    <row r="261" spans="1:3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row>
    <row r="262" spans="1:3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row>
    <row r="263" spans="1:3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row>
    <row r="264" spans="1:3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row>
    <row r="265" spans="1:3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row>
    <row r="266" spans="1:3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row>
    <row r="267" spans="1:3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row>
    <row r="268" spans="1:3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row>
    <row r="269" spans="1:3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row>
    <row r="270" spans="1:3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row>
    <row r="271" spans="1:3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row>
    <row r="272" spans="1:3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row>
    <row r="273" spans="1:3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row>
    <row r="274" spans="1:3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row>
    <row r="275" spans="1:3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row>
    <row r="276" spans="1:3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row>
    <row r="277" spans="1:3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row>
    <row r="278" spans="1:3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row>
    <row r="279" spans="1:3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row>
    <row r="280" spans="1:3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row>
    <row r="281" spans="1:3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row>
    <row r="282" spans="1:3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row>
    <row r="283" spans="1:3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row>
    <row r="284" spans="1:3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row>
    <row r="285" spans="1:3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row>
    <row r="286" spans="1:3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row>
    <row r="287" spans="1:3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row>
    <row r="288" spans="1:3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row>
    <row r="289" spans="1:3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row>
    <row r="290" spans="1:3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row>
    <row r="291" spans="1:3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row>
    <row r="292" spans="1:3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row>
    <row r="293" spans="1:3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row>
    <row r="294" spans="1:3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row>
    <row r="295" spans="1:3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row>
    <row r="296" spans="1:3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row>
    <row r="297" spans="1:3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row>
    <row r="298" spans="1:3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row>
    <row r="299" spans="1:3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row>
    <row r="300" spans="1:3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row>
    <row r="301" spans="1:3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row>
    <row r="302" spans="1:3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row>
    <row r="303" spans="1:3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row>
    <row r="304" spans="1:3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row>
    <row r="305" spans="1:3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row>
  </sheetData>
  <sheetProtection password="EAD7" sheet="1" objects="1" scenarios="1"/>
  <mergeCells count="153">
    <mergeCell ref="G2:I2"/>
    <mergeCell ref="C2:E2"/>
    <mergeCell ref="L9:M10"/>
    <mergeCell ref="L13:M14"/>
    <mergeCell ref="L16:M17"/>
    <mergeCell ref="B141:C141"/>
    <mergeCell ref="F141:G141"/>
    <mergeCell ref="J141:K141"/>
    <mergeCell ref="B140:C140"/>
    <mergeCell ref="D140:E140"/>
    <mergeCell ref="B139:C139"/>
    <mergeCell ref="D139:E139"/>
    <mergeCell ref="F140:G140"/>
    <mergeCell ref="L140:M140"/>
    <mergeCell ref="H139:I139"/>
    <mergeCell ref="H140:I140"/>
    <mergeCell ref="J140:K140"/>
    <mergeCell ref="B136:C136"/>
    <mergeCell ref="F136:G136"/>
    <mergeCell ref="D136:E136"/>
    <mergeCell ref="B138:C138"/>
    <mergeCell ref="F138:G138"/>
    <mergeCell ref="B137:C137"/>
    <mergeCell ref="D138:E138"/>
    <mergeCell ref="D137:E137"/>
    <mergeCell ref="F137:G137"/>
    <mergeCell ref="J135:K135"/>
    <mergeCell ref="L135:M135"/>
    <mergeCell ref="J136:K136"/>
    <mergeCell ref="L136:M136"/>
    <mergeCell ref="J137:K137"/>
    <mergeCell ref="L137:M137"/>
    <mergeCell ref="L138:M138"/>
    <mergeCell ref="F139:G139"/>
    <mergeCell ref="J133:K133"/>
    <mergeCell ref="L133:M133"/>
    <mergeCell ref="J134:K134"/>
    <mergeCell ref="L134:M134"/>
    <mergeCell ref="H134:I134"/>
    <mergeCell ref="H138:I138"/>
    <mergeCell ref="J138:K138"/>
    <mergeCell ref="J139:K139"/>
    <mergeCell ref="H136:I136"/>
    <mergeCell ref="H137:I137"/>
    <mergeCell ref="L139:M139"/>
    <mergeCell ref="B133:C133"/>
    <mergeCell ref="D133:E133"/>
    <mergeCell ref="F133:G133"/>
    <mergeCell ref="H133:I133"/>
    <mergeCell ref="B134:C134"/>
    <mergeCell ref="F134:G134"/>
    <mergeCell ref="B135:C135"/>
    <mergeCell ref="D135:E135"/>
    <mergeCell ref="F135:G135"/>
    <mergeCell ref="H135:I135"/>
    <mergeCell ref="D134:E134"/>
    <mergeCell ref="B131:C131"/>
    <mergeCell ref="D131:E131"/>
    <mergeCell ref="F131:G131"/>
    <mergeCell ref="H131:I131"/>
    <mergeCell ref="B130:C130"/>
    <mergeCell ref="J131:K131"/>
    <mergeCell ref="L131:M131"/>
    <mergeCell ref="B132:C132"/>
    <mergeCell ref="F132:G132"/>
    <mergeCell ref="D132:E132"/>
    <mergeCell ref="H132:I132"/>
    <mergeCell ref="L132:M132"/>
    <mergeCell ref="J132:K132"/>
    <mergeCell ref="J130:K130"/>
    <mergeCell ref="L130:M130"/>
    <mergeCell ref="A128:A129"/>
    <mergeCell ref="B128:C128"/>
    <mergeCell ref="D128:E128"/>
    <mergeCell ref="F128:G128"/>
    <mergeCell ref="F129:G129"/>
    <mergeCell ref="D130:E130"/>
    <mergeCell ref="F130:G130"/>
    <mergeCell ref="H130:I130"/>
    <mergeCell ref="J128:K128"/>
    <mergeCell ref="L128:M128"/>
    <mergeCell ref="J129:K129"/>
    <mergeCell ref="L129:M129"/>
    <mergeCell ref="H129:I129"/>
    <mergeCell ref="B129:C129"/>
    <mergeCell ref="C120:E120"/>
    <mergeCell ref="F119:H119"/>
    <mergeCell ref="C125:E125"/>
    <mergeCell ref="F120:H120"/>
    <mergeCell ref="C121:E121"/>
    <mergeCell ref="F121:H121"/>
    <mergeCell ref="D129:E129"/>
    <mergeCell ref="C122:E122"/>
    <mergeCell ref="F122:H122"/>
    <mergeCell ref="C123:E123"/>
    <mergeCell ref="F123:H123"/>
    <mergeCell ref="H128:I128"/>
    <mergeCell ref="L28:P28"/>
    <mergeCell ref="B28:F28"/>
    <mergeCell ref="G28:K28"/>
    <mergeCell ref="I77:K77"/>
    <mergeCell ref="O76:P76"/>
    <mergeCell ref="O77:P77"/>
    <mergeCell ref="I76:K76"/>
    <mergeCell ref="B88:C88"/>
    <mergeCell ref="O82:P82"/>
    <mergeCell ref="O83:P83"/>
    <mergeCell ref="O84:P84"/>
    <mergeCell ref="O85:P85"/>
    <mergeCell ref="L86:M86"/>
    <mergeCell ref="L76:M76"/>
    <mergeCell ref="L77:M77"/>
    <mergeCell ref="I79:K79"/>
    <mergeCell ref="I78:K78"/>
    <mergeCell ref="I85:K85"/>
    <mergeCell ref="I81:K81"/>
    <mergeCell ref="I83:K83"/>
    <mergeCell ref="I84:K84"/>
    <mergeCell ref="I82:K82"/>
    <mergeCell ref="O87:P87"/>
    <mergeCell ref="L79:M79"/>
    <mergeCell ref="C118:E118"/>
    <mergeCell ref="F118:H118"/>
    <mergeCell ref="C116:E116"/>
    <mergeCell ref="F116:H116"/>
    <mergeCell ref="C119:E119"/>
    <mergeCell ref="K114:M114"/>
    <mergeCell ref="C114:E114"/>
    <mergeCell ref="F114:H114"/>
    <mergeCell ref="A112:A113"/>
    <mergeCell ref="C112:E112"/>
    <mergeCell ref="F112:H113"/>
    <mergeCell ref="C113:E113"/>
    <mergeCell ref="C117:E117"/>
    <mergeCell ref="F117:H117"/>
    <mergeCell ref="C115:E115"/>
    <mergeCell ref="F115:H115"/>
    <mergeCell ref="K113:N113"/>
    <mergeCell ref="B86:C86"/>
    <mergeCell ref="O86:P86"/>
    <mergeCell ref="I80:K80"/>
    <mergeCell ref="L85:M85"/>
    <mergeCell ref="O78:P78"/>
    <mergeCell ref="O79:P79"/>
    <mergeCell ref="L80:M80"/>
    <mergeCell ref="O80:P80"/>
    <mergeCell ref="L78:M78"/>
    <mergeCell ref="I86:K86"/>
    <mergeCell ref="L81:M81"/>
    <mergeCell ref="L82:M82"/>
    <mergeCell ref="L83:M83"/>
    <mergeCell ref="L84:M84"/>
    <mergeCell ref="O81:P81"/>
  </mergeCells>
  <dataValidations count="1">
    <dataValidation type="list" allowBlank="1" showInputMessage="1" showErrorMessage="1" errorTitle="Ungültige Zeitangabe" error="Bitte wählen Sie aus einer der Zeitangaben, die in der Dropdown-Auswahlliste aufgeführt sind." sqref="C113:E113" xr:uid="{00000000-0002-0000-0C00-000000000000}">
      <formula1>$A$170:$A$173</formula1>
    </dataValidation>
  </dataValidations>
  <hyperlinks>
    <hyperlink ref="R111" location="Umsatzplanung!C2" display="zurück nach oben" xr:uid="{00000000-0004-0000-0C00-000000000000}"/>
    <hyperlink ref="R68" location="Umsatzplanung!C2" display="zurück nach oben" xr:uid="{00000000-0004-0000-0C00-000001000000}"/>
    <hyperlink ref="R26" location="Umsatzplanung!C2" display="zurück nach oben" xr:uid="{00000000-0004-0000-0C00-000002000000}"/>
    <hyperlink ref="L9" location="Umsatzplanung!A58" display="Kapazitätsorientiert" xr:uid="{00000000-0004-0000-0C00-000003000000}"/>
    <hyperlink ref="L13" location="Umsatzplanung!A95" display="nach Kundenzahl" xr:uid="{00000000-0004-0000-0C00-000004000000}"/>
    <hyperlink ref="L16" location="Umsatzplanung!A139" display="nach Zahl der Aufträge" xr:uid="{00000000-0004-0000-0C00-000005000000}"/>
    <hyperlink ref="G2" location="Startseite!C7" display="zurück zur Startseite" xr:uid="{00000000-0004-0000-0C00-000006000000}"/>
    <hyperlink ref="C2" location="Rentabilität!B8" display="zur Rentabilitätsberechnung" xr:uid="{00000000-0004-0000-0C00-000007000000}"/>
    <hyperlink ref="C2:E2" location="Rentabilität!D11" display="zur Rentabilitätsberechnung" xr:uid="{00000000-0004-0000-0C00-000008000000}"/>
    <hyperlink ref="L9:M10" location="Umsatzplanung!C30" display="Kapazitätsorientiert" xr:uid="{00000000-0004-0000-0C00-000009000000}"/>
    <hyperlink ref="L13:M14" location="Umsatzplanung!D92" display="nach Kundenzahl" xr:uid="{00000000-0004-0000-0C00-00000A000000}"/>
  </hyperlinks>
  <pageMargins left="1.1811023622047245" right="0.23622047244094491" top="1.3779527559055118" bottom="0.98425196850393704" header="0.51181102362204722" footer="0.51181102362204722"/>
  <pageSetup paperSize="9" scale="67" fitToHeight="2" orientation="landscape" blackAndWhite="1" horizontalDpi="300" verticalDpi="300" r:id="rId1"/>
  <headerFooter alignWithMargins="0">
    <oddFooter>&amp;L&amp;D&amp;RCopyright: Handwerkskammer Düsseldorf</oddFooter>
  </headerFooter>
  <rowBreaks count="2" manualBreakCount="2">
    <brk id="63" max="15" man="1"/>
    <brk id="104" max="15"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tabColor theme="6" tint="0.79998168889431442"/>
  </sheetPr>
  <dimension ref="A1:X106"/>
  <sheetViews>
    <sheetView showGridLines="0" zoomScale="110" zoomScaleNormal="110" workbookViewId="0">
      <selection activeCell="F12" sqref="F12"/>
    </sheetView>
  </sheetViews>
  <sheetFormatPr baseColWidth="10" defaultColWidth="11.44140625" defaultRowHeight="13.2" outlineLevelRow="1" outlineLevelCol="1"/>
  <cols>
    <col min="1" max="1" width="26" style="2" customWidth="1"/>
    <col min="2" max="2" width="6" style="2" customWidth="1"/>
    <col min="3" max="3" width="9" style="2" customWidth="1"/>
    <col min="4" max="4" width="30.33203125" style="2" customWidth="1"/>
    <col min="5" max="5" width="8.5546875" style="1002" hidden="1" customWidth="1" outlineLevel="1"/>
    <col min="6" max="6" width="10.33203125" style="2" customWidth="1" collapsed="1"/>
    <col min="7" max="7" width="10" style="2" customWidth="1"/>
    <col min="8" max="8" width="10.33203125" style="2" customWidth="1"/>
    <col min="9" max="9" width="9.5546875" style="2" customWidth="1"/>
    <col min="10" max="10" width="10.33203125" style="2" customWidth="1"/>
    <col min="11" max="11" width="10" style="2" customWidth="1"/>
    <col min="12" max="12" width="5.6640625" style="2" customWidth="1"/>
    <col min="13" max="13" width="20.5546875" style="2" customWidth="1"/>
    <col min="14" max="16384" width="11.44140625" style="2"/>
  </cols>
  <sheetData>
    <row r="1" spans="3:24" ht="49.5" customHeight="1">
      <c r="D1" s="1305" t="s">
        <v>551</v>
      </c>
      <c r="E1" s="1078"/>
      <c r="F1" s="1079"/>
    </row>
    <row r="2" spans="3:24" ht="12.75" customHeight="1">
      <c r="D2" s="1016"/>
      <c r="E2" s="1015"/>
      <c r="F2" s="1015"/>
    </row>
    <row r="3" spans="3:24">
      <c r="J3" s="1144" t="s">
        <v>502</v>
      </c>
      <c r="K3" s="1145"/>
    </row>
    <row r="5" spans="3:24" ht="24" customHeight="1">
      <c r="C5" s="116" t="str">
        <f xml:space="preserve"> CONCATENATE( "Rentabilitätsvorschau des Unternehmens:  ", Startseite!C14)</f>
        <v xml:space="preserve">Rentabilitätsvorschau des Unternehmens:  </v>
      </c>
      <c r="D5" s="132"/>
      <c r="E5" s="136"/>
      <c r="F5" s="132"/>
      <c r="G5" s="132"/>
      <c r="H5" s="346"/>
      <c r="I5" s="63"/>
      <c r="J5" s="63"/>
      <c r="K5" s="63"/>
      <c r="L5" s="63"/>
      <c r="M5" s="63"/>
      <c r="N5" s="63"/>
      <c r="O5" s="63"/>
      <c r="P5" s="63"/>
      <c r="Q5" s="63"/>
      <c r="R5" s="63"/>
      <c r="S5" s="63"/>
      <c r="T5" s="63"/>
      <c r="U5" s="63"/>
      <c r="V5" s="63"/>
      <c r="W5" s="63"/>
      <c r="X5" s="63"/>
    </row>
    <row r="6" spans="3:24" ht="13.5" customHeight="1">
      <c r="C6" s="63"/>
      <c r="D6" s="63"/>
      <c r="E6" s="152"/>
      <c r="F6" s="63"/>
      <c r="G6" s="63"/>
      <c r="H6" s="63"/>
      <c r="I6" s="63"/>
      <c r="J6" s="63"/>
      <c r="K6" s="63"/>
      <c r="L6" s="63"/>
      <c r="M6" s="63"/>
      <c r="N6" s="63"/>
      <c r="O6" s="63"/>
      <c r="P6" s="63"/>
      <c r="Q6" s="63"/>
      <c r="R6" s="63"/>
      <c r="S6" s="63"/>
      <c r="T6" s="63"/>
      <c r="U6" s="63"/>
      <c r="V6" s="63"/>
      <c r="W6" s="63"/>
      <c r="X6" s="63"/>
    </row>
    <row r="7" spans="3:24" ht="17.25" customHeight="1">
      <c r="C7" s="347"/>
      <c r="D7" s="131"/>
      <c r="E7" s="458"/>
      <c r="F7" s="375" t="s">
        <v>22</v>
      </c>
      <c r="G7" s="374"/>
      <c r="H7" s="375" t="s">
        <v>23</v>
      </c>
      <c r="I7" s="374"/>
      <c r="J7" s="375" t="s">
        <v>24</v>
      </c>
      <c r="K7" s="350"/>
      <c r="L7" s="63"/>
      <c r="M7" s="261"/>
      <c r="N7" s="261"/>
      <c r="O7" s="261"/>
      <c r="P7" s="261"/>
      <c r="Q7" s="63"/>
      <c r="R7" s="63"/>
      <c r="S7" s="63"/>
      <c r="T7" s="63"/>
      <c r="U7" s="63"/>
      <c r="V7" s="63"/>
      <c r="W7" s="63"/>
      <c r="X7" s="63"/>
    </row>
    <row r="8" spans="3:24" ht="14.25" customHeight="1">
      <c r="C8" s="351"/>
      <c r="D8" s="132"/>
      <c r="E8" s="80"/>
      <c r="F8" s="1152" t="str">
        <f>CONCATENATE("(",TEXT('Personalkosten 1. Jahr'!$M$4,"MMM. JJJJ")," - ",TEXT('Personalkosten 1. Jahr'!$O$4,"MMM. JJJJ"),")")</f>
        <v>(Nov. 2024 - Okt. 2025)</v>
      </c>
      <c r="G8" s="1153"/>
      <c r="H8" s="1152" t="str">
        <f>CONCATENATE("(",TEXT('Personalkosten 2. Jahr'!$K$4,"MMM. JJJJ")," - ",TEXT('Personalkosten 2. Jahr'!$M$4,"MMM. JJJJ"),")")</f>
        <v>(Nov. 2025 - Okt. 2026)</v>
      </c>
      <c r="I8" s="1153"/>
      <c r="J8" s="1152" t="str">
        <f>CONCATENATE("(",TEXT('Personalkosten 3. Jahr'!$K$4,"MMM. JJJJ")," - ",TEXT('Personalkosten 3. Jahr'!$M$4,"MMM. JJJJ"),")")</f>
        <v>(Nov. 2026 - Okt. 2027)</v>
      </c>
      <c r="K8" s="1153"/>
      <c r="L8" s="63"/>
      <c r="N8" s="261"/>
      <c r="O8" s="261"/>
      <c r="P8" s="261"/>
      <c r="Q8" s="63"/>
      <c r="R8" s="63"/>
      <c r="S8" s="63"/>
      <c r="T8" s="63"/>
      <c r="U8" s="63"/>
      <c r="V8" s="63"/>
      <c r="W8" s="63"/>
      <c r="X8" s="63"/>
    </row>
    <row r="9" spans="3:24">
      <c r="C9" s="95" t="s">
        <v>0</v>
      </c>
      <c r="D9" s="132"/>
      <c r="E9" s="80"/>
      <c r="F9" s="1154" t="s">
        <v>29</v>
      </c>
      <c r="G9" s="1154" t="s">
        <v>1</v>
      </c>
      <c r="H9" s="1154" t="s">
        <v>29</v>
      </c>
      <c r="I9" s="1154" t="s">
        <v>1</v>
      </c>
      <c r="J9" s="1154" t="s">
        <v>29</v>
      </c>
      <c r="K9" s="1154" t="s">
        <v>1</v>
      </c>
      <c r="L9" s="63"/>
      <c r="M9" s="262"/>
      <c r="N9" s="261"/>
      <c r="O9" s="261"/>
      <c r="P9" s="261"/>
      <c r="Q9" s="63"/>
      <c r="R9" s="63"/>
      <c r="S9" s="63"/>
      <c r="T9" s="63"/>
      <c r="U9" s="63"/>
      <c r="V9" s="63"/>
      <c r="W9" s="63"/>
      <c r="X9" s="63"/>
    </row>
    <row r="10" spans="3:24">
      <c r="C10" s="354"/>
      <c r="D10" s="69"/>
      <c r="E10" s="1003"/>
      <c r="F10" s="1155"/>
      <c r="G10" s="1155"/>
      <c r="H10" s="1155"/>
      <c r="I10" s="1155"/>
      <c r="J10" s="1155"/>
      <c r="K10" s="1155"/>
      <c r="L10" s="63"/>
      <c r="M10" s="63"/>
      <c r="N10" s="63"/>
      <c r="O10" s="63"/>
      <c r="P10" s="63"/>
      <c r="Q10" s="63"/>
      <c r="R10" s="63"/>
      <c r="S10" s="63"/>
      <c r="T10" s="63"/>
      <c r="U10" s="63"/>
      <c r="V10" s="63"/>
      <c r="W10" s="63"/>
      <c r="X10" s="63"/>
    </row>
    <row r="11" spans="3:24">
      <c r="C11" s="145" t="s">
        <v>448</v>
      </c>
      <c r="D11" s="369"/>
      <c r="E11" s="376" t="s">
        <v>550</v>
      </c>
      <c r="F11" s="360"/>
      <c r="G11" s="91"/>
      <c r="H11" s="360"/>
      <c r="I11" s="91" t="str">
        <f t="shared" ref="I11:I22" si="0">IF(H$22=0,"",(H11/H$22*100))</f>
        <v/>
      </c>
      <c r="J11" s="360"/>
      <c r="K11" s="91" t="str">
        <f t="shared" ref="K11:K22" si="1">IF(J$22=0,"",(J11/J$22*100))</f>
        <v/>
      </c>
      <c r="L11" s="63"/>
      <c r="M11" s="63"/>
      <c r="N11" s="63"/>
      <c r="O11" s="63"/>
      <c r="P11" s="63"/>
      <c r="Q11" s="63"/>
      <c r="R11" s="63"/>
      <c r="S11" s="63"/>
      <c r="T11" s="63"/>
      <c r="U11" s="63"/>
      <c r="V11" s="63"/>
      <c r="W11" s="63"/>
      <c r="X11" s="63"/>
    </row>
    <row r="12" spans="3:24">
      <c r="C12" s="88" t="s">
        <v>317</v>
      </c>
      <c r="D12" s="851"/>
      <c r="E12" s="1013">
        <v>0.19</v>
      </c>
      <c r="F12" s="824"/>
      <c r="G12" s="91" t="str">
        <f t="shared" ref="G12:G22" si="2">IF(F$22=0,"",(F12/F$22*100))</f>
        <v/>
      </c>
      <c r="H12" s="824"/>
      <c r="I12" s="91" t="str">
        <f t="shared" si="0"/>
        <v/>
      </c>
      <c r="J12" s="824"/>
      <c r="K12" s="91" t="str">
        <f t="shared" si="1"/>
        <v/>
      </c>
      <c r="L12" s="63"/>
      <c r="M12" s="63"/>
      <c r="N12" s="63"/>
      <c r="O12" s="580"/>
      <c r="P12" s="63"/>
      <c r="Q12" s="63"/>
      <c r="R12" s="63"/>
      <c r="S12" s="63"/>
      <c r="T12" s="63"/>
      <c r="U12" s="63"/>
      <c r="V12" s="63"/>
      <c r="W12" s="63"/>
      <c r="X12" s="63"/>
    </row>
    <row r="13" spans="3:24">
      <c r="C13" s="93" t="s">
        <v>318</v>
      </c>
      <c r="D13" s="851"/>
      <c r="E13" s="1013">
        <v>0.19</v>
      </c>
      <c r="F13" s="824"/>
      <c r="G13" s="91" t="str">
        <f t="shared" si="2"/>
        <v/>
      </c>
      <c r="H13" s="824"/>
      <c r="I13" s="91" t="str">
        <f t="shared" si="0"/>
        <v/>
      </c>
      <c r="J13" s="824"/>
      <c r="K13" s="91" t="str">
        <f t="shared" si="1"/>
        <v/>
      </c>
      <c r="L13" s="63"/>
      <c r="M13" s="63"/>
      <c r="N13" s="63"/>
      <c r="O13" s="580"/>
      <c r="P13" s="63"/>
      <c r="Q13" s="63"/>
      <c r="R13" s="63"/>
      <c r="S13" s="63"/>
      <c r="T13" s="63"/>
      <c r="U13" s="63"/>
      <c r="V13" s="63"/>
      <c r="W13" s="63"/>
      <c r="X13" s="63"/>
    </row>
    <row r="14" spans="3:24">
      <c r="C14" s="93" t="s">
        <v>319</v>
      </c>
      <c r="D14" s="851"/>
      <c r="E14" s="1013">
        <v>0.19</v>
      </c>
      <c r="F14" s="824"/>
      <c r="G14" s="91" t="str">
        <f t="shared" si="2"/>
        <v/>
      </c>
      <c r="H14" s="824"/>
      <c r="I14" s="91" t="str">
        <f t="shared" si="0"/>
        <v/>
      </c>
      <c r="J14" s="824"/>
      <c r="K14" s="91" t="str">
        <f t="shared" si="1"/>
        <v/>
      </c>
      <c r="L14" s="63"/>
      <c r="M14" s="63"/>
      <c r="N14" s="63"/>
      <c r="O14" s="63"/>
      <c r="P14" s="63"/>
      <c r="Q14" s="63"/>
      <c r="R14" s="63"/>
      <c r="S14" s="63"/>
      <c r="T14" s="63"/>
      <c r="U14" s="63"/>
      <c r="V14" s="63"/>
      <c r="W14" s="63"/>
      <c r="X14" s="63"/>
    </row>
    <row r="15" spans="3:24">
      <c r="C15" s="93" t="s">
        <v>320</v>
      </c>
      <c r="D15" s="851"/>
      <c r="E15" s="1013">
        <v>0.19</v>
      </c>
      <c r="F15" s="824"/>
      <c r="G15" s="91" t="str">
        <f t="shared" si="2"/>
        <v/>
      </c>
      <c r="H15" s="824"/>
      <c r="I15" s="91" t="str">
        <f t="shared" si="0"/>
        <v/>
      </c>
      <c r="J15" s="824"/>
      <c r="K15" s="91" t="str">
        <f t="shared" si="1"/>
        <v/>
      </c>
      <c r="L15" s="63"/>
      <c r="M15" s="63"/>
      <c r="N15" s="63"/>
      <c r="O15" s="63"/>
      <c r="P15" s="63"/>
      <c r="Q15" s="63"/>
      <c r="R15" s="63"/>
      <c r="S15" s="63"/>
      <c r="T15" s="63"/>
      <c r="U15" s="63"/>
      <c r="V15" s="63"/>
      <c r="W15" s="63"/>
      <c r="X15" s="63"/>
    </row>
    <row r="16" spans="3:24" hidden="1" outlineLevel="1">
      <c r="C16" s="93" t="s">
        <v>449</v>
      </c>
      <c r="D16" s="851"/>
      <c r="E16" s="1013">
        <v>0.19</v>
      </c>
      <c r="F16" s="824"/>
      <c r="G16" s="91" t="str">
        <f t="shared" si="2"/>
        <v/>
      </c>
      <c r="H16" s="824"/>
      <c r="I16" s="91" t="str">
        <f t="shared" si="0"/>
        <v/>
      </c>
      <c r="J16" s="824"/>
      <c r="K16" s="91" t="str">
        <f t="shared" si="1"/>
        <v/>
      </c>
      <c r="L16" s="63"/>
      <c r="M16" s="63"/>
      <c r="N16" s="63"/>
      <c r="O16" s="63"/>
      <c r="P16" s="63"/>
      <c r="Q16" s="63"/>
      <c r="R16" s="63"/>
      <c r="S16" s="63"/>
      <c r="T16" s="63"/>
      <c r="U16" s="63"/>
      <c r="V16" s="63"/>
      <c r="W16" s="63"/>
      <c r="X16" s="63"/>
    </row>
    <row r="17" spans="1:24" hidden="1" outlineLevel="1">
      <c r="C17" s="93" t="s">
        <v>450</v>
      </c>
      <c r="D17" s="851"/>
      <c r="E17" s="1013">
        <v>0.19</v>
      </c>
      <c r="F17" s="824"/>
      <c r="G17" s="91" t="str">
        <f t="shared" si="2"/>
        <v/>
      </c>
      <c r="H17" s="824"/>
      <c r="I17" s="91" t="str">
        <f t="shared" si="0"/>
        <v/>
      </c>
      <c r="J17" s="824"/>
      <c r="K17" s="91" t="str">
        <f t="shared" si="1"/>
        <v/>
      </c>
      <c r="L17" s="63"/>
      <c r="M17" s="63"/>
      <c r="N17" s="63"/>
      <c r="O17" s="63"/>
      <c r="P17" s="63"/>
      <c r="Q17" s="63"/>
      <c r="R17" s="63"/>
      <c r="S17" s="63"/>
      <c r="T17" s="63"/>
      <c r="U17" s="63"/>
      <c r="V17" s="63"/>
      <c r="W17" s="63"/>
      <c r="X17" s="63"/>
    </row>
    <row r="18" spans="1:24" hidden="1" outlineLevel="1">
      <c r="C18" s="93" t="s">
        <v>451</v>
      </c>
      <c r="D18" s="851"/>
      <c r="E18" s="1013">
        <v>0.19</v>
      </c>
      <c r="F18" s="824"/>
      <c r="G18" s="91" t="str">
        <f t="shared" si="2"/>
        <v/>
      </c>
      <c r="H18" s="824"/>
      <c r="I18" s="91" t="str">
        <f t="shared" si="0"/>
        <v/>
      </c>
      <c r="J18" s="824"/>
      <c r="K18" s="91" t="str">
        <f t="shared" si="1"/>
        <v/>
      </c>
      <c r="L18" s="63"/>
      <c r="M18" s="63"/>
      <c r="N18" s="63"/>
      <c r="O18" s="63"/>
      <c r="P18" s="63"/>
      <c r="Q18" s="63"/>
      <c r="R18" s="63"/>
      <c r="S18" s="63"/>
      <c r="T18" s="63"/>
      <c r="U18" s="63"/>
      <c r="V18" s="63"/>
      <c r="W18" s="63"/>
      <c r="X18" s="63"/>
    </row>
    <row r="19" spans="1:24" hidden="1" outlineLevel="1">
      <c r="C19" s="93" t="s">
        <v>452</v>
      </c>
      <c r="D19" s="851"/>
      <c r="E19" s="1013">
        <v>0.19</v>
      </c>
      <c r="F19" s="824"/>
      <c r="G19" s="91" t="str">
        <f t="shared" si="2"/>
        <v/>
      </c>
      <c r="H19" s="824"/>
      <c r="I19" s="91" t="str">
        <f t="shared" si="0"/>
        <v/>
      </c>
      <c r="J19" s="824"/>
      <c r="K19" s="91" t="str">
        <f t="shared" si="1"/>
        <v/>
      </c>
      <c r="L19" s="63"/>
      <c r="M19" s="63"/>
      <c r="N19" s="63"/>
      <c r="O19" s="63"/>
      <c r="P19" s="63"/>
      <c r="Q19" s="63"/>
      <c r="R19" s="63"/>
      <c r="S19" s="63"/>
      <c r="T19" s="63"/>
      <c r="U19" s="63"/>
      <c r="V19" s="63"/>
      <c r="W19" s="63"/>
      <c r="X19" s="63"/>
    </row>
    <row r="20" spans="1:24" hidden="1" outlineLevel="1">
      <c r="C20" s="93" t="s">
        <v>453</v>
      </c>
      <c r="D20" s="851"/>
      <c r="E20" s="1013">
        <v>0.19</v>
      </c>
      <c r="F20" s="824"/>
      <c r="G20" s="91" t="str">
        <f t="shared" si="2"/>
        <v/>
      </c>
      <c r="H20" s="824"/>
      <c r="I20" s="91" t="str">
        <f t="shared" si="0"/>
        <v/>
      </c>
      <c r="J20" s="824"/>
      <c r="K20" s="91" t="str">
        <f t="shared" si="1"/>
        <v/>
      </c>
      <c r="L20" s="63"/>
      <c r="M20" s="63"/>
      <c r="N20" s="63"/>
      <c r="O20" s="63"/>
      <c r="P20" s="63"/>
      <c r="Q20" s="63"/>
      <c r="R20" s="63"/>
      <c r="S20" s="63"/>
      <c r="T20" s="63"/>
      <c r="U20" s="63"/>
      <c r="V20" s="63"/>
      <c r="W20" s="63"/>
      <c r="X20" s="63"/>
    </row>
    <row r="21" spans="1:24" hidden="1" outlineLevel="1">
      <c r="C21" s="93" t="s">
        <v>454</v>
      </c>
      <c r="D21" s="851"/>
      <c r="E21" s="1013">
        <v>0.19</v>
      </c>
      <c r="F21" s="824"/>
      <c r="G21" s="91" t="str">
        <f t="shared" si="2"/>
        <v/>
      </c>
      <c r="H21" s="824"/>
      <c r="I21" s="91" t="str">
        <f t="shared" si="0"/>
        <v/>
      </c>
      <c r="J21" s="824"/>
      <c r="K21" s="91" t="str">
        <f t="shared" si="1"/>
        <v/>
      </c>
      <c r="L21" s="63"/>
      <c r="M21" s="63"/>
      <c r="N21" s="63"/>
      <c r="O21" s="63"/>
      <c r="P21" s="63"/>
      <c r="Q21" s="63"/>
      <c r="R21" s="63"/>
      <c r="S21" s="63"/>
      <c r="T21" s="63"/>
      <c r="U21" s="63"/>
      <c r="V21" s="63"/>
      <c r="W21" s="63"/>
      <c r="X21" s="63"/>
    </row>
    <row r="22" spans="1:24" s="16" customFormat="1" ht="15.75" customHeight="1" collapsed="1">
      <c r="A22" s="1306" t="s">
        <v>516</v>
      </c>
      <c r="C22" s="145" t="s">
        <v>53</v>
      </c>
      <c r="D22" s="440"/>
      <c r="E22" s="1004"/>
      <c r="F22" s="384">
        <f>SUM(F11:F21)</f>
        <v>0</v>
      </c>
      <c r="G22" s="390" t="str">
        <f t="shared" si="2"/>
        <v/>
      </c>
      <c r="H22" s="384">
        <f>SUM(H11:H21)</f>
        <v>0</v>
      </c>
      <c r="I22" s="390" t="str">
        <f t="shared" si="0"/>
        <v/>
      </c>
      <c r="J22" s="384">
        <f>SUM(J11:J21)</f>
        <v>0</v>
      </c>
      <c r="K22" s="390" t="str">
        <f t="shared" si="1"/>
        <v/>
      </c>
      <c r="L22" s="196"/>
      <c r="M22" s="196"/>
      <c r="N22" s="196"/>
      <c r="O22" s="196"/>
      <c r="P22" s="196"/>
      <c r="Q22" s="196"/>
      <c r="R22" s="196"/>
      <c r="S22" s="196"/>
      <c r="T22" s="196"/>
      <c r="U22" s="196"/>
      <c r="V22" s="196"/>
      <c r="W22" s="196"/>
      <c r="X22" s="196"/>
    </row>
    <row r="23" spans="1:24" ht="12.75" customHeight="1">
      <c r="A23" s="1307"/>
      <c r="C23" s="95" t="s">
        <v>295</v>
      </c>
      <c r="D23" s="1001"/>
      <c r="E23" s="1005"/>
      <c r="F23" s="808"/>
      <c r="G23" s="91">
        <f>IF(F$22=0,0,(F23/F$22*100))</f>
        <v>0</v>
      </c>
      <c r="H23" s="808"/>
      <c r="I23" s="91">
        <f>IF(H$22=0,0,(H23/H$22*100))</f>
        <v>0</v>
      </c>
      <c r="J23" s="808"/>
      <c r="K23" s="91">
        <f>IF(J$22=0,0,(J23/J$22*100))</f>
        <v>0</v>
      </c>
      <c r="L23" s="63"/>
      <c r="M23" s="63"/>
      <c r="N23" s="63"/>
      <c r="O23" s="63"/>
      <c r="P23" s="63"/>
      <c r="Q23" s="63"/>
      <c r="R23" s="63"/>
      <c r="S23" s="63"/>
      <c r="T23" s="63"/>
      <c r="U23" s="63"/>
      <c r="V23" s="63"/>
      <c r="W23" s="63"/>
      <c r="X23" s="63"/>
    </row>
    <row r="24" spans="1:24">
      <c r="A24" s="1307"/>
      <c r="C24" s="433"/>
      <c r="D24" s="434" t="s">
        <v>290</v>
      </c>
      <c r="E24" s="1013">
        <v>0.19</v>
      </c>
      <c r="F24" s="360">
        <f t="shared" ref="F24:F33" si="3">IF(G24="",0,F12*G24/100)</f>
        <v>0</v>
      </c>
      <c r="G24" s="825"/>
      <c r="H24" s="360">
        <f t="shared" ref="H24:H33" si="4">IF(I24="",0,H12*I24/100)</f>
        <v>0</v>
      </c>
      <c r="I24" s="825"/>
      <c r="J24" s="360">
        <f t="shared" ref="J24:J33" si="5">IF(K24="",0,J12*K24/100)</f>
        <v>0</v>
      </c>
      <c r="K24" s="825"/>
      <c r="L24" s="63"/>
      <c r="M24" s="63"/>
      <c r="N24" s="63"/>
      <c r="O24" s="63"/>
      <c r="P24" s="63"/>
      <c r="Q24" s="63"/>
      <c r="R24" s="63"/>
      <c r="S24" s="63"/>
      <c r="T24" s="63"/>
      <c r="U24" s="63"/>
      <c r="V24" s="63"/>
      <c r="W24" s="63"/>
      <c r="X24" s="63"/>
    </row>
    <row r="25" spans="1:24">
      <c r="A25" s="1307"/>
      <c r="C25" s="95"/>
      <c r="D25" s="434" t="s">
        <v>291</v>
      </c>
      <c r="E25" s="1013">
        <v>0.19</v>
      </c>
      <c r="F25" s="360">
        <f t="shared" si="3"/>
        <v>0</v>
      </c>
      <c r="G25" s="825"/>
      <c r="H25" s="360">
        <f t="shared" si="4"/>
        <v>0</v>
      </c>
      <c r="I25" s="825"/>
      <c r="J25" s="360">
        <f t="shared" si="5"/>
        <v>0</v>
      </c>
      <c r="K25" s="825"/>
      <c r="L25" s="63"/>
      <c r="M25" s="63"/>
      <c r="N25" s="63"/>
      <c r="O25" s="63"/>
      <c r="P25" s="63"/>
      <c r="Q25" s="63"/>
      <c r="R25" s="63"/>
      <c r="S25" s="63"/>
      <c r="T25" s="63"/>
      <c r="U25" s="63"/>
      <c r="V25" s="63"/>
      <c r="W25" s="63"/>
      <c r="X25" s="63"/>
    </row>
    <row r="26" spans="1:24">
      <c r="A26" s="1307"/>
      <c r="C26" s="95"/>
      <c r="D26" s="434" t="s">
        <v>292</v>
      </c>
      <c r="E26" s="1013">
        <v>0.19</v>
      </c>
      <c r="F26" s="360">
        <f t="shared" si="3"/>
        <v>0</v>
      </c>
      <c r="G26" s="825"/>
      <c r="H26" s="360">
        <f t="shared" si="4"/>
        <v>0</v>
      </c>
      <c r="I26" s="825"/>
      <c r="J26" s="360">
        <f t="shared" si="5"/>
        <v>0</v>
      </c>
      <c r="K26" s="825"/>
      <c r="L26" s="63"/>
      <c r="M26" s="63"/>
      <c r="N26" s="63"/>
      <c r="O26" s="63"/>
      <c r="P26" s="63"/>
      <c r="Q26" s="63"/>
      <c r="R26" s="63"/>
      <c r="S26" s="63"/>
      <c r="T26" s="63"/>
      <c r="U26" s="63"/>
      <c r="V26" s="63"/>
      <c r="W26" s="63"/>
      <c r="X26" s="63"/>
    </row>
    <row r="27" spans="1:24">
      <c r="A27" s="1308"/>
      <c r="C27" s="95"/>
      <c r="D27" s="434" t="s">
        <v>293</v>
      </c>
      <c r="E27" s="1013">
        <v>0.19</v>
      </c>
      <c r="F27" s="360">
        <f t="shared" si="3"/>
        <v>0</v>
      </c>
      <c r="G27" s="825"/>
      <c r="H27" s="360">
        <f t="shared" si="4"/>
        <v>0</v>
      </c>
      <c r="I27" s="825"/>
      <c r="J27" s="360">
        <f t="shared" si="5"/>
        <v>0</v>
      </c>
      <c r="K27" s="825"/>
      <c r="L27" s="63"/>
      <c r="M27" s="63"/>
      <c r="N27" s="63"/>
      <c r="O27" s="63"/>
      <c r="P27" s="63"/>
      <c r="Q27" s="63"/>
      <c r="R27" s="63"/>
      <c r="S27" s="63"/>
      <c r="T27" s="63"/>
      <c r="U27" s="63"/>
      <c r="V27" s="63"/>
      <c r="W27" s="63"/>
      <c r="X27" s="63"/>
    </row>
    <row r="28" spans="1:24" hidden="1" outlineLevel="1">
      <c r="C28" s="95"/>
      <c r="D28" s="434" t="s">
        <v>455</v>
      </c>
      <c r="E28" s="1013">
        <v>0.19</v>
      </c>
      <c r="F28" s="360">
        <f t="shared" si="3"/>
        <v>0</v>
      </c>
      <c r="G28" s="825"/>
      <c r="H28" s="360">
        <f t="shared" si="4"/>
        <v>0</v>
      </c>
      <c r="I28" s="825"/>
      <c r="J28" s="360">
        <f t="shared" si="5"/>
        <v>0</v>
      </c>
      <c r="K28" s="825"/>
      <c r="L28" s="63"/>
      <c r="M28" s="63"/>
      <c r="N28" s="63"/>
      <c r="O28" s="63"/>
      <c r="P28" s="63"/>
      <c r="Q28" s="63"/>
      <c r="R28" s="63"/>
      <c r="S28" s="63"/>
      <c r="T28" s="63"/>
      <c r="U28" s="63"/>
      <c r="V28" s="63"/>
      <c r="W28" s="63"/>
      <c r="X28" s="63"/>
    </row>
    <row r="29" spans="1:24" ht="11.25" hidden="1" customHeight="1" outlineLevel="1">
      <c r="A29" s="1306" t="s">
        <v>513</v>
      </c>
      <c r="C29" s="95"/>
      <c r="D29" s="434" t="s">
        <v>456</v>
      </c>
      <c r="E29" s="1013">
        <v>0.19</v>
      </c>
      <c r="F29" s="360">
        <f t="shared" si="3"/>
        <v>0</v>
      </c>
      <c r="G29" s="825"/>
      <c r="H29" s="360">
        <f t="shared" si="4"/>
        <v>0</v>
      </c>
      <c r="I29" s="825"/>
      <c r="J29" s="360">
        <f t="shared" si="5"/>
        <v>0</v>
      </c>
      <c r="K29" s="825"/>
      <c r="L29" s="63"/>
      <c r="M29" s="63"/>
      <c r="N29" s="63"/>
      <c r="O29" s="63"/>
      <c r="P29" s="63"/>
      <c r="Q29" s="63"/>
      <c r="R29" s="63"/>
      <c r="S29" s="63"/>
      <c r="T29" s="63"/>
      <c r="U29" s="63"/>
      <c r="V29" s="63"/>
      <c r="W29" s="63"/>
      <c r="X29" s="63"/>
    </row>
    <row r="30" spans="1:24" ht="12.75" hidden="1" customHeight="1" outlineLevel="1">
      <c r="A30" s="1307"/>
      <c r="C30" s="95"/>
      <c r="D30" s="434" t="s">
        <v>457</v>
      </c>
      <c r="E30" s="1013">
        <v>0.19</v>
      </c>
      <c r="F30" s="360">
        <f t="shared" si="3"/>
        <v>0</v>
      </c>
      <c r="G30" s="825"/>
      <c r="H30" s="360">
        <f t="shared" si="4"/>
        <v>0</v>
      </c>
      <c r="I30" s="825"/>
      <c r="J30" s="360">
        <f t="shared" si="5"/>
        <v>0</v>
      </c>
      <c r="K30" s="825"/>
      <c r="L30" s="63"/>
      <c r="M30" s="63"/>
      <c r="N30" s="63"/>
      <c r="O30" s="63"/>
      <c r="P30" s="63"/>
      <c r="Q30" s="63"/>
      <c r="R30" s="63"/>
      <c r="S30" s="63"/>
      <c r="T30" s="63"/>
      <c r="U30" s="63"/>
      <c r="V30" s="63"/>
      <c r="W30" s="63"/>
      <c r="X30" s="63"/>
    </row>
    <row r="31" spans="1:24" hidden="1" outlineLevel="1">
      <c r="A31" s="1307"/>
      <c r="C31" s="95"/>
      <c r="D31" s="434" t="s">
        <v>458</v>
      </c>
      <c r="E31" s="1013">
        <v>0.19</v>
      </c>
      <c r="F31" s="360">
        <f t="shared" si="3"/>
        <v>0</v>
      </c>
      <c r="G31" s="825"/>
      <c r="H31" s="360">
        <f t="shared" si="4"/>
        <v>0</v>
      </c>
      <c r="I31" s="825"/>
      <c r="J31" s="360">
        <f t="shared" si="5"/>
        <v>0</v>
      </c>
      <c r="K31" s="825"/>
      <c r="L31" s="63"/>
      <c r="M31" s="63"/>
      <c r="N31" s="63"/>
      <c r="O31" s="63"/>
      <c r="P31" s="63"/>
      <c r="Q31" s="63"/>
      <c r="R31" s="63"/>
      <c r="S31" s="63"/>
      <c r="T31" s="63"/>
      <c r="U31" s="63"/>
      <c r="V31" s="63"/>
      <c r="W31" s="63"/>
      <c r="X31" s="63"/>
    </row>
    <row r="32" spans="1:24" hidden="1" outlineLevel="1">
      <c r="A32" s="1307"/>
      <c r="C32" s="95"/>
      <c r="D32" s="434" t="s">
        <v>459</v>
      </c>
      <c r="E32" s="1013">
        <v>0.19</v>
      </c>
      <c r="F32" s="360">
        <f t="shared" si="3"/>
        <v>0</v>
      </c>
      <c r="G32" s="825"/>
      <c r="H32" s="360">
        <f t="shared" si="4"/>
        <v>0</v>
      </c>
      <c r="I32" s="825"/>
      <c r="J32" s="360">
        <f t="shared" si="5"/>
        <v>0</v>
      </c>
      <c r="K32" s="825"/>
      <c r="L32" s="63"/>
      <c r="M32" s="63"/>
      <c r="N32" s="63"/>
      <c r="O32" s="63"/>
      <c r="P32" s="63"/>
      <c r="Q32" s="63"/>
      <c r="R32" s="63"/>
      <c r="S32" s="63"/>
      <c r="T32" s="63"/>
      <c r="U32" s="63"/>
      <c r="V32" s="63"/>
      <c r="W32" s="63"/>
      <c r="X32" s="63"/>
    </row>
    <row r="33" spans="1:24" hidden="1" outlineLevel="1">
      <c r="A33" s="1308"/>
      <c r="C33" s="95"/>
      <c r="D33" s="434" t="s">
        <v>460</v>
      </c>
      <c r="E33" s="1013">
        <v>0.19</v>
      </c>
      <c r="F33" s="360">
        <f t="shared" si="3"/>
        <v>0</v>
      </c>
      <c r="G33" s="825"/>
      <c r="H33" s="360">
        <f t="shared" si="4"/>
        <v>0</v>
      </c>
      <c r="I33" s="825"/>
      <c r="J33" s="360">
        <f t="shared" si="5"/>
        <v>0</v>
      </c>
      <c r="K33" s="825"/>
      <c r="L33" s="63"/>
      <c r="M33" s="63"/>
      <c r="N33" s="63"/>
      <c r="O33" s="63"/>
      <c r="P33" s="63"/>
      <c r="Q33" s="63"/>
      <c r="R33" s="63"/>
      <c r="S33" s="63"/>
      <c r="T33" s="63"/>
      <c r="U33" s="63"/>
      <c r="V33" s="63"/>
      <c r="W33" s="63"/>
      <c r="X33" s="63"/>
    </row>
    <row r="34" spans="1:24" collapsed="1">
      <c r="A34" s="949"/>
      <c r="C34" s="93" t="s">
        <v>102</v>
      </c>
      <c r="D34" s="127"/>
      <c r="E34" s="376"/>
      <c r="F34" s="360">
        <f>SUM(F24:F33)</f>
        <v>0</v>
      </c>
      <c r="G34" s="399">
        <f>IF(F$22=0,0,(F34/F$22*100))</f>
        <v>0</v>
      </c>
      <c r="H34" s="360">
        <f>SUM(H24:H33)</f>
        <v>0</v>
      </c>
      <c r="I34" s="399">
        <f>IF(H$22=0,0,(H34/H$22*100))</f>
        <v>0</v>
      </c>
      <c r="J34" s="360">
        <f>SUM(J24:J33)</f>
        <v>0</v>
      </c>
      <c r="K34" s="399">
        <f>IF(J$22=0,0,(J34/J$22*100))</f>
        <v>0</v>
      </c>
      <c r="L34" s="63"/>
      <c r="M34" s="404"/>
      <c r="N34" s="63"/>
      <c r="O34" s="63"/>
      <c r="P34" s="63"/>
      <c r="Q34" s="63"/>
      <c r="R34" s="63"/>
      <c r="S34" s="63"/>
      <c r="T34" s="63"/>
      <c r="U34" s="63"/>
      <c r="V34" s="63"/>
      <c r="W34" s="63"/>
      <c r="X34" s="63"/>
    </row>
    <row r="35" spans="1:24" s="16" customFormat="1">
      <c r="C35" s="140" t="s">
        <v>42</v>
      </c>
      <c r="D35" s="135"/>
      <c r="E35" s="1006"/>
      <c r="F35" s="389">
        <f>(F22-F23-F34)</f>
        <v>0</v>
      </c>
      <c r="G35" s="388" t="str">
        <f t="shared" ref="G35:G40" si="6">IF(F$22=0,"",(F35/F$22*100))</f>
        <v/>
      </c>
      <c r="H35" s="389">
        <f>(H22-H23-H34)</f>
        <v>0</v>
      </c>
      <c r="I35" s="388" t="str">
        <f t="shared" ref="I35:I40" si="7">IF(H$22=0,"",(H35/H$22*100))</f>
        <v/>
      </c>
      <c r="J35" s="389">
        <f>(J22-J23-J34)</f>
        <v>0</v>
      </c>
      <c r="K35" s="388" t="str">
        <f t="shared" ref="K35:K40" si="8">IF(J$22=0,"",(J35/J$22*100))</f>
        <v/>
      </c>
      <c r="L35" s="196"/>
      <c r="M35" s="196"/>
      <c r="N35" s="196"/>
      <c r="O35" s="196"/>
      <c r="P35" s="196"/>
      <c r="Q35" s="196"/>
      <c r="R35" s="196"/>
      <c r="S35" s="196"/>
      <c r="T35" s="196"/>
      <c r="U35" s="196"/>
      <c r="V35" s="196"/>
      <c r="W35" s="196"/>
      <c r="X35" s="196"/>
    </row>
    <row r="36" spans="1:24">
      <c r="C36" s="93" t="s">
        <v>43</v>
      </c>
      <c r="D36" s="127"/>
      <c r="E36" s="1007"/>
      <c r="F36" s="94">
        <f>'Personalkosten 1. Jahr'!O42</f>
        <v>0</v>
      </c>
      <c r="G36" s="399" t="str">
        <f t="shared" si="6"/>
        <v/>
      </c>
      <c r="H36" s="94">
        <f>'Personalkosten 2. Jahr'!M42</f>
        <v>0</v>
      </c>
      <c r="I36" s="399" t="str">
        <f t="shared" si="7"/>
        <v/>
      </c>
      <c r="J36" s="94">
        <f>'Personalkosten 3. Jahr'!M42</f>
        <v>0</v>
      </c>
      <c r="K36" s="399" t="str">
        <f t="shared" si="8"/>
        <v/>
      </c>
      <c r="L36" s="63"/>
      <c r="M36" s="63"/>
      <c r="N36" s="63"/>
      <c r="O36" s="63"/>
      <c r="P36" s="63"/>
      <c r="Q36" s="63"/>
      <c r="R36" s="63"/>
      <c r="S36" s="63"/>
      <c r="T36" s="63"/>
      <c r="U36" s="63"/>
      <c r="V36" s="63"/>
      <c r="W36" s="63"/>
      <c r="X36" s="63"/>
    </row>
    <row r="37" spans="1:24">
      <c r="C37" s="140" t="s">
        <v>44</v>
      </c>
      <c r="D37" s="135"/>
      <c r="E37" s="1008"/>
      <c r="F37" s="389">
        <f>(F35-F36)</f>
        <v>0</v>
      </c>
      <c r="G37" s="388" t="str">
        <f t="shared" si="6"/>
        <v/>
      </c>
      <c r="H37" s="389">
        <f>(H35-H36)</f>
        <v>0</v>
      </c>
      <c r="I37" s="388" t="str">
        <f t="shared" si="7"/>
        <v/>
      </c>
      <c r="J37" s="389">
        <f>(J35-J36)</f>
        <v>0</v>
      </c>
      <c r="K37" s="388" t="str">
        <f t="shared" si="8"/>
        <v/>
      </c>
      <c r="L37" s="63"/>
      <c r="M37" s="63"/>
      <c r="N37" s="63"/>
      <c r="O37" s="63"/>
      <c r="P37" s="63"/>
      <c r="Q37" s="63"/>
      <c r="R37" s="63"/>
      <c r="S37" s="63"/>
      <c r="T37" s="63"/>
      <c r="U37" s="63"/>
      <c r="V37" s="63"/>
      <c r="W37" s="63"/>
      <c r="X37" s="63"/>
    </row>
    <row r="38" spans="1:24">
      <c r="C38" s="93" t="s">
        <v>286</v>
      </c>
      <c r="D38" s="127"/>
      <c r="E38" s="1007"/>
      <c r="F38" s="94">
        <f>'übrige Kosten'!$C$30</f>
        <v>0</v>
      </c>
      <c r="G38" s="399" t="str">
        <f t="shared" si="6"/>
        <v/>
      </c>
      <c r="H38" s="94">
        <f>'übrige Kosten'!$E$30</f>
        <v>0</v>
      </c>
      <c r="I38" s="399" t="str">
        <f t="shared" si="7"/>
        <v/>
      </c>
      <c r="J38" s="94">
        <f>'übrige Kosten'!$G$30</f>
        <v>0</v>
      </c>
      <c r="K38" s="399" t="str">
        <f t="shared" si="8"/>
        <v/>
      </c>
      <c r="L38" s="63"/>
      <c r="M38" s="63"/>
      <c r="N38" s="63"/>
      <c r="O38" s="63"/>
      <c r="P38" s="63"/>
      <c r="Q38" s="63"/>
      <c r="R38" s="63"/>
      <c r="S38" s="63"/>
      <c r="T38" s="63"/>
      <c r="U38" s="63"/>
      <c r="V38" s="63"/>
      <c r="W38" s="63"/>
      <c r="X38" s="63"/>
    </row>
    <row r="39" spans="1:24" s="16" customFormat="1">
      <c r="C39" s="140" t="s">
        <v>103</v>
      </c>
      <c r="D39" s="135"/>
      <c r="E39" s="1008"/>
      <c r="F39" s="389">
        <f>F37-F38</f>
        <v>0</v>
      </c>
      <c r="G39" s="388" t="str">
        <f t="shared" si="6"/>
        <v/>
      </c>
      <c r="H39" s="389">
        <f>H37-H38</f>
        <v>0</v>
      </c>
      <c r="I39" s="388" t="str">
        <f t="shared" si="7"/>
        <v/>
      </c>
      <c r="J39" s="389">
        <f>J37-J38</f>
        <v>0</v>
      </c>
      <c r="K39" s="388" t="str">
        <f t="shared" si="8"/>
        <v/>
      </c>
      <c r="L39" s="196"/>
      <c r="M39" s="196"/>
      <c r="N39" s="196"/>
      <c r="O39" s="196"/>
      <c r="P39" s="196"/>
      <c r="Q39" s="196"/>
      <c r="R39" s="196"/>
      <c r="S39" s="196"/>
      <c r="T39" s="196"/>
      <c r="U39" s="196"/>
      <c r="V39" s="196"/>
      <c r="W39" s="196"/>
      <c r="X39" s="196"/>
    </row>
    <row r="40" spans="1:24">
      <c r="C40" s="95" t="s">
        <v>355</v>
      </c>
      <c r="D40" s="132"/>
      <c r="E40" s="136"/>
      <c r="F40" s="94">
        <f>'übrige Kosten'!C34+'übrige Kosten'!C35</f>
        <v>0</v>
      </c>
      <c r="G40" s="404" t="str">
        <f t="shared" si="6"/>
        <v/>
      </c>
      <c r="H40" s="94">
        <f>'übrige Kosten'!E34+'übrige Kosten'!E35</f>
        <v>0</v>
      </c>
      <c r="I40" s="404" t="str">
        <f t="shared" si="7"/>
        <v/>
      </c>
      <c r="J40" s="94">
        <f>'übrige Kosten'!G34+'übrige Kosten'!G35</f>
        <v>0</v>
      </c>
      <c r="K40" s="104" t="str">
        <f t="shared" si="8"/>
        <v/>
      </c>
      <c r="L40" s="63"/>
      <c r="M40" s="63"/>
      <c r="N40" s="63"/>
      <c r="O40" s="63"/>
      <c r="P40" s="63"/>
      <c r="Q40" s="63"/>
      <c r="R40" s="63"/>
      <c r="S40" s="63"/>
      <c r="T40" s="63"/>
      <c r="U40" s="63"/>
      <c r="V40" s="63"/>
      <c r="W40" s="63"/>
      <c r="X40" s="63"/>
    </row>
    <row r="41" spans="1:24">
      <c r="C41" s="391" t="s">
        <v>440</v>
      </c>
      <c r="D41" s="1000"/>
      <c r="E41" s="1006"/>
      <c r="F41" s="438">
        <f>(F39-F40)</f>
        <v>0</v>
      </c>
      <c r="G41" s="439" t="str">
        <f>IF(F$22=0,"",(F41/F$22*100))</f>
        <v/>
      </c>
      <c r="H41" s="438">
        <f>(H39-H40)</f>
        <v>0</v>
      </c>
      <c r="I41" s="439" t="str">
        <f>IF(H$22=0,"",(H41/H$22*100))</f>
        <v/>
      </c>
      <c r="J41" s="438">
        <f>(J39-J40)</f>
        <v>0</v>
      </c>
      <c r="K41" s="439" t="str">
        <f>IF(J$22=0,"",(J41/J$22*100))</f>
        <v/>
      </c>
      <c r="L41" s="63"/>
      <c r="M41" s="63"/>
      <c r="N41" s="63"/>
      <c r="O41" s="63"/>
      <c r="P41" s="63"/>
      <c r="Q41" s="63"/>
      <c r="R41" s="63"/>
      <c r="S41" s="63"/>
      <c r="T41" s="63"/>
      <c r="U41" s="63"/>
      <c r="V41" s="63"/>
      <c r="W41" s="63"/>
      <c r="X41" s="63"/>
    </row>
    <row r="42" spans="1:24">
      <c r="C42" s="145"/>
      <c r="D42" s="440"/>
      <c r="E42" s="1009"/>
      <c r="F42" s="441"/>
      <c r="G42" s="442"/>
      <c r="H42" s="441"/>
      <c r="I42" s="442"/>
      <c r="J42" s="441"/>
      <c r="K42" s="390"/>
      <c r="L42" s="63"/>
      <c r="M42" s="63"/>
      <c r="N42" s="63"/>
      <c r="O42" s="63"/>
      <c r="P42" s="63"/>
      <c r="Q42" s="63"/>
      <c r="R42" s="63"/>
      <c r="S42" s="63"/>
      <c r="T42" s="63"/>
      <c r="U42" s="63"/>
      <c r="V42" s="63"/>
      <c r="W42" s="63"/>
      <c r="X42" s="63"/>
    </row>
    <row r="43" spans="1:24">
      <c r="C43" s="93" t="s">
        <v>284</v>
      </c>
      <c r="D43" s="443"/>
      <c r="E43" s="1010"/>
      <c r="F43" s="444">
        <f>'übrige Kosten'!C16</f>
        <v>0</v>
      </c>
      <c r="G43" s="431" t="str">
        <f>IF(F$22=0,"",(F43/F$22*100))</f>
        <v/>
      </c>
      <c r="H43" s="444">
        <f>'übrige Kosten'!E16</f>
        <v>0</v>
      </c>
      <c r="I43" s="431" t="str">
        <f>IF(H$22=0,"",(H43/H$22*100))</f>
        <v/>
      </c>
      <c r="J43" s="444">
        <f>'übrige Kosten'!G16</f>
        <v>0</v>
      </c>
      <c r="K43" s="431" t="str">
        <f>IF(J$22=0,"",(J43/J$22*100))</f>
        <v/>
      </c>
      <c r="L43" s="63"/>
      <c r="M43" s="63"/>
      <c r="N43" s="63"/>
      <c r="O43" s="63"/>
      <c r="P43" s="63"/>
      <c r="Q43" s="63"/>
      <c r="R43" s="63"/>
      <c r="S43" s="63"/>
      <c r="T43" s="63"/>
      <c r="U43" s="63"/>
      <c r="V43" s="63"/>
      <c r="W43" s="63"/>
      <c r="X43" s="63"/>
    </row>
    <row r="44" spans="1:24">
      <c r="C44" s="88" t="s">
        <v>285</v>
      </c>
      <c r="D44" s="117"/>
      <c r="E44" s="999"/>
      <c r="F44" s="360">
        <f>ROUND('Zins und Tilgung'!D16,-2)</f>
        <v>0</v>
      </c>
      <c r="G44" s="431" t="str">
        <f>IF(F$22=0,"",(F44/F$22*100))</f>
        <v/>
      </c>
      <c r="H44" s="360">
        <f>ROUND('Zins und Tilgung'!D17,-2)</f>
        <v>0</v>
      </c>
      <c r="I44" s="431" t="str">
        <f>IF(H$22=0,"",(H44/H$22*100))</f>
        <v/>
      </c>
      <c r="J44" s="360">
        <f>ROUND('Zins und Tilgung'!D18,-2)</f>
        <v>0</v>
      </c>
      <c r="K44" s="431" t="str">
        <f>IF(J$22=0,"",(J44/J$22*100))</f>
        <v/>
      </c>
      <c r="L44" s="63"/>
      <c r="M44" s="63"/>
      <c r="N44" s="63"/>
      <c r="O44" s="63"/>
      <c r="P44" s="63"/>
      <c r="Q44" s="63"/>
      <c r="R44" s="63"/>
      <c r="S44" s="63"/>
      <c r="T44" s="63"/>
      <c r="U44" s="63"/>
      <c r="V44" s="63"/>
      <c r="W44" s="63"/>
      <c r="X44" s="63"/>
    </row>
    <row r="45" spans="1:24">
      <c r="C45" s="94" t="s">
        <v>445</v>
      </c>
      <c r="D45" s="841"/>
      <c r="E45" s="1011"/>
      <c r="F45" s="94">
        <f>IF(OR(8=Startseite!$A50,9=Startseite!$A50,10=Startseite!$A50),0,Unternehmerlohn!F45+Unternehmerlohn!Q45+Unternehmerlohn!AB45)</f>
        <v>0</v>
      </c>
      <c r="G45" s="400" t="str">
        <f>IF(F$22=0,"",(F45/F$22*100))</f>
        <v/>
      </c>
      <c r="H45" s="94">
        <f>IF(OR(8=Startseite!$A50,9=Startseite!$A50,10=Startseite!$A50),0,Unternehmerlohn!H45+Unternehmerlohn!S45+Unternehmerlohn!AD45)</f>
        <v>0</v>
      </c>
      <c r="I45" s="400" t="str">
        <f>IF(H$22=0,"",(H45/H$22*100))</f>
        <v/>
      </c>
      <c r="J45" s="94">
        <f>IF(OR(8=Startseite!$A50,9=Startseite!$A50,10=Startseite!$A50),0,Unternehmerlohn!J45+Unternehmerlohn!U45+Unternehmerlohn!AF45)</f>
        <v>0</v>
      </c>
      <c r="K45" s="400" t="str">
        <f>IF(J$22=0,"",(J45/J$22*100))</f>
        <v/>
      </c>
      <c r="L45" s="63"/>
      <c r="M45" s="63"/>
      <c r="N45" s="63"/>
      <c r="O45" s="63"/>
      <c r="P45" s="63"/>
      <c r="Q45" s="63"/>
      <c r="R45" s="63"/>
      <c r="S45" s="63"/>
      <c r="T45" s="63"/>
      <c r="U45" s="63"/>
      <c r="V45" s="63"/>
      <c r="W45" s="63"/>
      <c r="X45" s="63"/>
    </row>
    <row r="46" spans="1:24">
      <c r="C46" s="145" t="s">
        <v>294</v>
      </c>
      <c r="D46" s="440"/>
      <c r="E46" s="1004"/>
      <c r="F46" s="384">
        <f>F41+F43-F44-F45</f>
        <v>0</v>
      </c>
      <c r="G46" s="91" t="str">
        <f>IF(Rentabilität!F$22=0,"",(F46/Rentabilität!F$22*100))</f>
        <v/>
      </c>
      <c r="H46" s="384">
        <f>H41+H43-H44-H45</f>
        <v>0</v>
      </c>
      <c r="I46" s="91" t="str">
        <f>IF(Rentabilität!H$22=0,"",(H46/Rentabilität!H$22*100))</f>
        <v/>
      </c>
      <c r="J46" s="384">
        <f>J41+J43-J44-J45</f>
        <v>0</v>
      </c>
      <c r="K46" s="91" t="str">
        <f>IF(Rentabilität!J$22=0,"",(J46/Rentabilität!J$22*100))</f>
        <v/>
      </c>
      <c r="L46" s="63"/>
      <c r="M46" s="63"/>
      <c r="N46" s="63"/>
      <c r="O46" s="63"/>
      <c r="P46" s="63"/>
      <c r="Q46" s="63"/>
      <c r="R46" s="63"/>
      <c r="S46" s="63"/>
      <c r="T46" s="63"/>
      <c r="U46" s="63"/>
      <c r="V46" s="63"/>
      <c r="W46" s="63"/>
      <c r="X46" s="63"/>
    </row>
    <row r="47" spans="1:24">
      <c r="C47" s="445"/>
      <c r="D47" s="131"/>
      <c r="E47" s="1012"/>
      <c r="F47" s="446"/>
      <c r="G47" s="447"/>
      <c r="H47" s="446"/>
      <c r="I47" s="447"/>
      <c r="J47" s="446"/>
      <c r="K47" s="447"/>
      <c r="L47" s="63"/>
      <c r="M47" s="63"/>
      <c r="N47" s="63"/>
      <c r="O47" s="63"/>
      <c r="P47" s="63"/>
      <c r="Q47" s="63"/>
      <c r="R47" s="63"/>
      <c r="S47" s="63"/>
      <c r="T47" s="63"/>
      <c r="U47" s="63"/>
      <c r="V47" s="63"/>
      <c r="W47" s="63"/>
      <c r="X47" s="63"/>
    </row>
    <row r="48" spans="1:24">
      <c r="C48" s="63"/>
      <c r="D48" s="63"/>
      <c r="E48" s="152"/>
      <c r="F48" s="63"/>
      <c r="G48" s="63"/>
      <c r="H48" s="63"/>
      <c r="I48" s="63"/>
      <c r="J48" s="63"/>
      <c r="K48" s="63"/>
      <c r="L48" s="63"/>
      <c r="M48" s="63"/>
      <c r="N48" s="63"/>
      <c r="O48" s="63"/>
      <c r="P48" s="63"/>
      <c r="Q48" s="63"/>
      <c r="R48" s="63"/>
      <c r="S48" s="63"/>
      <c r="T48" s="63"/>
      <c r="U48" s="63"/>
      <c r="V48" s="63"/>
      <c r="W48" s="63"/>
      <c r="X48" s="63"/>
    </row>
    <row r="49" spans="3:24">
      <c r="C49" s="63"/>
      <c r="D49" s="63"/>
      <c r="E49" s="152"/>
      <c r="F49" s="63"/>
      <c r="G49" s="63"/>
      <c r="H49" s="63"/>
      <c r="I49" s="63"/>
      <c r="J49" s="63"/>
      <c r="K49" s="63"/>
      <c r="L49" s="63"/>
      <c r="M49" s="63"/>
      <c r="N49" s="63"/>
      <c r="O49" s="63"/>
      <c r="P49" s="63"/>
      <c r="Q49" s="63"/>
      <c r="R49" s="63"/>
      <c r="S49" s="63"/>
      <c r="T49" s="63"/>
      <c r="U49" s="63"/>
      <c r="V49" s="63"/>
      <c r="W49" s="63"/>
      <c r="X49" s="63"/>
    </row>
    <row r="50" spans="3:24">
      <c r="C50" s="63"/>
      <c r="D50" s="63"/>
      <c r="E50" s="152"/>
      <c r="F50" s="63"/>
      <c r="G50" s="63"/>
      <c r="H50" s="63"/>
      <c r="I50" s="63"/>
      <c r="J50" s="63"/>
      <c r="K50" s="63"/>
      <c r="L50" s="63"/>
      <c r="M50" s="63"/>
      <c r="N50" s="63"/>
      <c r="O50" s="63"/>
      <c r="P50" s="63"/>
      <c r="Q50" s="63"/>
      <c r="R50" s="63"/>
      <c r="S50" s="63"/>
      <c r="T50" s="63"/>
      <c r="U50" s="63"/>
      <c r="V50" s="63"/>
      <c r="W50" s="63"/>
      <c r="X50" s="63"/>
    </row>
    <row r="51" spans="3:24">
      <c r="C51" s="63"/>
      <c r="D51" s="63"/>
      <c r="E51" s="152"/>
      <c r="F51" s="63"/>
      <c r="G51" s="63"/>
      <c r="H51" s="63"/>
      <c r="I51" s="63"/>
      <c r="J51" s="63"/>
      <c r="K51" s="63"/>
      <c r="L51" s="63"/>
      <c r="M51" s="63"/>
      <c r="N51" s="63"/>
      <c r="O51" s="63"/>
      <c r="P51" s="63"/>
      <c r="Q51" s="63"/>
      <c r="R51" s="63"/>
      <c r="S51" s="63"/>
      <c r="T51" s="63"/>
      <c r="U51" s="63"/>
      <c r="V51" s="63"/>
      <c r="W51" s="63"/>
      <c r="X51" s="63"/>
    </row>
    <row r="52" spans="3:24">
      <c r="C52" s="63"/>
      <c r="D52" s="63"/>
      <c r="E52" s="152"/>
      <c r="F52" s="63"/>
      <c r="G52" s="63"/>
      <c r="H52" s="63"/>
      <c r="I52" s="63"/>
      <c r="J52" s="63"/>
      <c r="K52" s="63"/>
      <c r="L52" s="63"/>
      <c r="M52" s="63"/>
      <c r="N52" s="63"/>
      <c r="O52" s="63"/>
      <c r="P52" s="63"/>
      <c r="Q52" s="63"/>
      <c r="R52" s="63"/>
      <c r="S52" s="63"/>
      <c r="T52" s="63"/>
      <c r="U52" s="63"/>
      <c r="V52" s="63"/>
      <c r="W52" s="63"/>
      <c r="X52" s="63"/>
    </row>
    <row r="53" spans="3:24">
      <c r="C53" s="63"/>
      <c r="D53" s="63"/>
      <c r="E53" s="152"/>
      <c r="F53" s="63"/>
      <c r="G53" s="63"/>
      <c r="H53" s="63"/>
      <c r="I53" s="63"/>
      <c r="J53" s="63"/>
      <c r="K53" s="63"/>
      <c r="L53" s="63"/>
      <c r="M53" s="63"/>
      <c r="N53" s="63"/>
      <c r="O53" s="63"/>
      <c r="P53" s="63"/>
      <c r="Q53" s="63"/>
      <c r="R53" s="63"/>
      <c r="S53" s="63"/>
      <c r="T53" s="63"/>
      <c r="U53" s="63"/>
      <c r="V53" s="63"/>
      <c r="W53" s="63"/>
      <c r="X53" s="63"/>
    </row>
    <row r="54" spans="3:24">
      <c r="C54" s="63"/>
      <c r="D54" s="63"/>
      <c r="E54" s="152"/>
      <c r="F54" s="63"/>
      <c r="G54" s="63"/>
      <c r="H54" s="63"/>
      <c r="I54" s="63"/>
      <c r="J54" s="63"/>
      <c r="K54" s="63"/>
      <c r="L54" s="63"/>
      <c r="M54" s="63"/>
      <c r="N54" s="63"/>
      <c r="O54" s="63"/>
      <c r="P54" s="63"/>
      <c r="Q54" s="63"/>
      <c r="R54" s="63"/>
      <c r="S54" s="63"/>
      <c r="T54" s="63"/>
      <c r="U54" s="63"/>
      <c r="V54" s="63"/>
      <c r="W54" s="63"/>
      <c r="X54" s="63"/>
    </row>
    <row r="55" spans="3:24">
      <c r="C55" s="63"/>
      <c r="D55" s="63"/>
      <c r="E55" s="152"/>
      <c r="F55" s="63"/>
      <c r="G55" s="63"/>
      <c r="H55" s="63"/>
      <c r="I55" s="63"/>
      <c r="J55" s="63"/>
      <c r="K55" s="63"/>
      <c r="L55" s="63"/>
      <c r="M55" s="63"/>
      <c r="N55" s="63"/>
      <c r="O55" s="63"/>
      <c r="P55" s="63"/>
      <c r="Q55" s="63"/>
      <c r="R55" s="63"/>
      <c r="S55" s="63"/>
      <c r="T55" s="63"/>
      <c r="U55" s="63"/>
      <c r="V55" s="63"/>
      <c r="W55" s="63"/>
      <c r="X55" s="63"/>
    </row>
    <row r="56" spans="3:24">
      <c r="C56" s="63"/>
      <c r="D56" s="63"/>
      <c r="E56" s="152"/>
      <c r="F56" s="63"/>
      <c r="G56" s="63"/>
      <c r="H56" s="63"/>
      <c r="I56" s="63"/>
      <c r="J56" s="63"/>
      <c r="K56" s="63"/>
      <c r="L56" s="63"/>
      <c r="M56" s="63"/>
      <c r="N56" s="63"/>
      <c r="O56" s="63"/>
      <c r="P56" s="63"/>
      <c r="Q56" s="63"/>
      <c r="R56" s="63"/>
      <c r="S56" s="63"/>
      <c r="T56" s="63"/>
      <c r="U56" s="63"/>
      <c r="V56" s="63"/>
      <c r="W56" s="63"/>
      <c r="X56" s="63"/>
    </row>
    <row r="57" spans="3:24">
      <c r="C57" s="63"/>
      <c r="D57" s="63"/>
      <c r="E57" s="152"/>
      <c r="F57" s="63"/>
      <c r="G57" s="63"/>
      <c r="H57" s="63"/>
      <c r="I57" s="63"/>
      <c r="J57" s="63"/>
      <c r="K57" s="63"/>
      <c r="L57" s="63"/>
      <c r="M57" s="63"/>
      <c r="N57" s="63"/>
      <c r="O57" s="63"/>
      <c r="P57" s="63"/>
      <c r="Q57" s="63"/>
      <c r="R57" s="63"/>
      <c r="S57" s="63"/>
      <c r="T57" s="63"/>
      <c r="U57" s="63"/>
      <c r="V57" s="63"/>
      <c r="W57" s="63"/>
      <c r="X57" s="63"/>
    </row>
    <row r="58" spans="3:24">
      <c r="C58" s="63"/>
      <c r="D58" s="63"/>
      <c r="E58" s="152"/>
      <c r="F58" s="63"/>
      <c r="G58" s="63"/>
      <c r="H58" s="63"/>
      <c r="I58" s="63"/>
      <c r="J58" s="63"/>
      <c r="K58" s="63"/>
      <c r="L58" s="63"/>
      <c r="M58" s="63"/>
      <c r="N58" s="63"/>
      <c r="O58" s="63"/>
      <c r="P58" s="63"/>
      <c r="Q58" s="63"/>
      <c r="R58" s="63"/>
      <c r="S58" s="63"/>
      <c r="T58" s="63"/>
      <c r="U58" s="63"/>
      <c r="V58" s="63"/>
      <c r="W58" s="63"/>
      <c r="X58" s="63"/>
    </row>
    <row r="59" spans="3:24">
      <c r="C59" s="63"/>
      <c r="D59" s="63"/>
      <c r="E59" s="152"/>
      <c r="F59" s="63"/>
      <c r="G59" s="63"/>
      <c r="H59" s="63"/>
      <c r="I59" s="63"/>
      <c r="J59" s="63"/>
      <c r="K59" s="63"/>
      <c r="L59" s="63"/>
      <c r="M59" s="63"/>
      <c r="N59" s="63"/>
      <c r="O59" s="63"/>
      <c r="P59" s="63"/>
      <c r="Q59" s="63"/>
      <c r="R59" s="63"/>
      <c r="S59" s="63"/>
      <c r="T59" s="63"/>
      <c r="U59" s="63"/>
      <c r="V59" s="63"/>
      <c r="W59" s="63"/>
      <c r="X59" s="63"/>
    </row>
    <row r="60" spans="3:24">
      <c r="C60" s="63"/>
      <c r="D60" s="63"/>
      <c r="E60" s="152"/>
      <c r="F60" s="63"/>
      <c r="G60" s="63"/>
      <c r="H60" s="63"/>
      <c r="I60" s="63"/>
      <c r="J60" s="63"/>
      <c r="K60" s="63"/>
      <c r="L60" s="63"/>
      <c r="M60" s="63"/>
      <c r="N60" s="63"/>
      <c r="O60" s="63"/>
      <c r="P60" s="63"/>
      <c r="Q60" s="63"/>
      <c r="R60" s="63"/>
      <c r="S60" s="63"/>
      <c r="T60" s="63"/>
      <c r="U60" s="63"/>
      <c r="V60" s="63"/>
      <c r="W60" s="63"/>
      <c r="X60" s="63"/>
    </row>
    <row r="61" spans="3:24">
      <c r="C61" s="63"/>
      <c r="D61" s="63"/>
      <c r="E61" s="152"/>
      <c r="F61" s="63"/>
      <c r="G61" s="63"/>
      <c r="H61" s="63"/>
      <c r="I61" s="63"/>
      <c r="J61" s="63"/>
      <c r="K61" s="63"/>
      <c r="L61" s="63"/>
      <c r="M61" s="63"/>
      <c r="N61" s="63"/>
      <c r="O61" s="63"/>
      <c r="P61" s="63"/>
      <c r="Q61" s="63"/>
      <c r="R61" s="63"/>
      <c r="S61" s="63"/>
      <c r="T61" s="63"/>
      <c r="U61" s="63"/>
      <c r="V61" s="63"/>
      <c r="W61" s="63"/>
      <c r="X61" s="63"/>
    </row>
    <row r="62" spans="3:24">
      <c r="C62" s="63"/>
      <c r="D62" s="63"/>
      <c r="E62" s="152"/>
      <c r="F62" s="63"/>
      <c r="G62" s="63"/>
      <c r="H62" s="63"/>
      <c r="I62" s="63"/>
      <c r="J62" s="63"/>
      <c r="K62" s="63"/>
      <c r="L62" s="63"/>
      <c r="M62" s="63"/>
      <c r="N62" s="63"/>
      <c r="O62" s="63"/>
      <c r="P62" s="63"/>
      <c r="Q62" s="63"/>
      <c r="R62" s="63"/>
      <c r="S62" s="63"/>
      <c r="T62" s="63"/>
      <c r="U62" s="63"/>
      <c r="V62" s="63"/>
      <c r="W62" s="63"/>
      <c r="X62" s="63"/>
    </row>
    <row r="63" spans="3:24">
      <c r="C63" s="63"/>
      <c r="D63" s="63"/>
      <c r="E63" s="152"/>
      <c r="F63" s="63"/>
      <c r="G63" s="63"/>
      <c r="H63" s="63"/>
      <c r="I63" s="63"/>
      <c r="J63" s="63"/>
      <c r="K63" s="63"/>
      <c r="L63" s="63"/>
      <c r="M63" s="63"/>
      <c r="N63" s="63"/>
      <c r="O63" s="63"/>
      <c r="P63" s="63"/>
      <c r="Q63" s="63"/>
      <c r="R63" s="63"/>
      <c r="S63" s="63"/>
      <c r="T63" s="63"/>
      <c r="U63" s="63"/>
      <c r="V63" s="63"/>
      <c r="W63" s="63"/>
      <c r="X63" s="63"/>
    </row>
    <row r="64" spans="3:24">
      <c r="C64" s="63"/>
      <c r="D64" s="63"/>
      <c r="E64" s="152"/>
      <c r="F64" s="63"/>
      <c r="G64" s="63"/>
      <c r="H64" s="63"/>
      <c r="I64" s="63"/>
      <c r="J64" s="63"/>
      <c r="K64" s="63"/>
      <c r="L64" s="63"/>
      <c r="M64" s="63"/>
      <c r="N64" s="63"/>
      <c r="O64" s="63"/>
      <c r="P64" s="63"/>
      <c r="Q64" s="63"/>
      <c r="R64" s="63"/>
      <c r="S64" s="63"/>
      <c r="T64" s="63"/>
      <c r="U64" s="63"/>
      <c r="V64" s="63"/>
      <c r="W64" s="63"/>
      <c r="X64" s="63"/>
    </row>
    <row r="65" spans="3:24">
      <c r="C65" s="63"/>
      <c r="D65" s="63"/>
      <c r="E65" s="152"/>
      <c r="F65" s="63"/>
      <c r="G65" s="63"/>
      <c r="H65" s="63"/>
      <c r="I65" s="63"/>
      <c r="J65" s="63"/>
      <c r="K65" s="63"/>
      <c r="L65" s="63"/>
      <c r="M65" s="63"/>
      <c r="N65" s="63"/>
      <c r="O65" s="63"/>
      <c r="P65" s="63"/>
      <c r="Q65" s="63"/>
      <c r="R65" s="63"/>
      <c r="S65" s="63"/>
      <c r="T65" s="63"/>
      <c r="U65" s="63"/>
      <c r="V65" s="63"/>
      <c r="W65" s="63"/>
      <c r="X65" s="63"/>
    </row>
    <row r="66" spans="3:24">
      <c r="C66" s="63"/>
      <c r="D66" s="63"/>
      <c r="E66" s="152"/>
      <c r="F66" s="63"/>
      <c r="G66" s="63"/>
      <c r="H66" s="63"/>
      <c r="I66" s="63"/>
      <c r="J66" s="63"/>
      <c r="K66" s="63"/>
      <c r="L66" s="63"/>
      <c r="M66" s="63"/>
      <c r="N66" s="63"/>
      <c r="O66" s="63"/>
      <c r="P66" s="63"/>
      <c r="Q66" s="63"/>
      <c r="R66" s="63"/>
      <c r="S66" s="63"/>
      <c r="T66" s="63"/>
      <c r="U66" s="63"/>
      <c r="V66" s="63"/>
      <c r="W66" s="63"/>
      <c r="X66" s="63"/>
    </row>
    <row r="67" spans="3:24">
      <c r="C67" s="63"/>
      <c r="D67" s="63"/>
      <c r="E67" s="152"/>
      <c r="F67" s="63"/>
      <c r="G67" s="63"/>
      <c r="H67" s="63"/>
      <c r="I67" s="63"/>
      <c r="J67" s="63"/>
      <c r="K67" s="63"/>
      <c r="L67" s="63"/>
      <c r="M67" s="63"/>
      <c r="N67" s="63"/>
      <c r="O67" s="63"/>
      <c r="P67" s="63"/>
      <c r="Q67" s="63"/>
      <c r="R67" s="63"/>
      <c r="S67" s="63"/>
      <c r="T67" s="63"/>
      <c r="U67" s="63"/>
      <c r="V67" s="63"/>
      <c r="W67" s="63"/>
      <c r="X67" s="63"/>
    </row>
    <row r="68" spans="3:24">
      <c r="C68" s="63"/>
      <c r="D68" s="63"/>
      <c r="E68" s="152"/>
      <c r="F68" s="63"/>
      <c r="G68" s="63"/>
      <c r="H68" s="63"/>
      <c r="I68" s="63"/>
      <c r="J68" s="63"/>
      <c r="K68" s="63"/>
      <c r="L68" s="63"/>
      <c r="M68" s="63"/>
      <c r="N68" s="63"/>
      <c r="O68" s="63"/>
      <c r="P68" s="63"/>
      <c r="Q68" s="63"/>
      <c r="R68" s="63"/>
      <c r="S68" s="63"/>
      <c r="T68" s="63"/>
      <c r="U68" s="63"/>
      <c r="V68" s="63"/>
      <c r="W68" s="63"/>
      <c r="X68" s="63"/>
    </row>
    <row r="69" spans="3:24">
      <c r="C69" s="63"/>
      <c r="D69" s="63"/>
      <c r="E69" s="152"/>
      <c r="F69" s="63"/>
      <c r="G69" s="63"/>
      <c r="H69" s="63"/>
      <c r="I69" s="63"/>
      <c r="J69" s="63"/>
      <c r="K69" s="63"/>
      <c r="L69" s="63"/>
      <c r="M69" s="63"/>
      <c r="N69" s="63"/>
      <c r="O69" s="63"/>
      <c r="P69" s="63"/>
      <c r="Q69" s="63"/>
      <c r="R69" s="63"/>
      <c r="S69" s="63"/>
      <c r="T69" s="63"/>
      <c r="U69" s="63"/>
      <c r="V69" s="63"/>
      <c r="W69" s="63"/>
      <c r="X69" s="63"/>
    </row>
    <row r="70" spans="3:24">
      <c r="C70" s="63"/>
      <c r="D70" s="63"/>
      <c r="E70" s="152"/>
      <c r="F70" s="63"/>
      <c r="G70" s="63"/>
      <c r="H70" s="63"/>
      <c r="I70" s="63"/>
      <c r="J70" s="63"/>
      <c r="K70" s="63"/>
      <c r="L70" s="63"/>
      <c r="M70" s="63"/>
      <c r="N70" s="63"/>
      <c r="O70" s="63"/>
      <c r="P70" s="63"/>
      <c r="Q70" s="63"/>
      <c r="R70" s="63"/>
      <c r="S70" s="63"/>
      <c r="T70" s="63"/>
      <c r="U70" s="63"/>
      <c r="V70" s="63"/>
      <c r="W70" s="63"/>
      <c r="X70" s="63"/>
    </row>
    <row r="71" spans="3:24">
      <c r="C71" s="63"/>
      <c r="D71" s="63"/>
      <c r="E71" s="152"/>
      <c r="F71" s="63"/>
      <c r="G71" s="63"/>
      <c r="H71" s="63"/>
      <c r="I71" s="63"/>
      <c r="J71" s="63"/>
      <c r="K71" s="63"/>
      <c r="L71" s="63"/>
      <c r="M71" s="63"/>
      <c r="N71" s="63"/>
      <c r="O71" s="63"/>
      <c r="P71" s="63"/>
      <c r="Q71" s="63"/>
      <c r="R71" s="63"/>
      <c r="S71" s="63"/>
      <c r="T71" s="63"/>
      <c r="U71" s="63"/>
      <c r="V71" s="63"/>
      <c r="W71" s="63"/>
      <c r="X71" s="63"/>
    </row>
    <row r="72" spans="3:24">
      <c r="C72" s="63"/>
      <c r="D72" s="63"/>
      <c r="E72" s="152"/>
      <c r="F72" s="63"/>
      <c r="G72" s="63"/>
      <c r="H72" s="63"/>
      <c r="I72" s="63"/>
      <c r="J72" s="63"/>
      <c r="K72" s="63"/>
      <c r="L72" s="63"/>
      <c r="M72" s="63"/>
      <c r="N72" s="63"/>
      <c r="O72" s="63"/>
      <c r="P72" s="63"/>
      <c r="Q72" s="63"/>
      <c r="R72" s="63"/>
      <c r="S72" s="63"/>
      <c r="T72" s="63"/>
      <c r="U72" s="63"/>
      <c r="V72" s="63"/>
      <c r="W72" s="63"/>
      <c r="X72" s="63"/>
    </row>
    <row r="73" spans="3:24">
      <c r="C73" s="63"/>
      <c r="D73" s="63"/>
      <c r="E73" s="152"/>
      <c r="F73" s="63"/>
      <c r="G73" s="63"/>
      <c r="H73" s="63"/>
      <c r="I73" s="63"/>
      <c r="J73" s="63"/>
      <c r="K73" s="63"/>
      <c r="L73" s="63"/>
      <c r="M73" s="63"/>
      <c r="N73" s="63"/>
      <c r="O73" s="63"/>
      <c r="P73" s="63"/>
      <c r="Q73" s="63"/>
      <c r="R73" s="63"/>
      <c r="S73" s="63"/>
      <c r="T73" s="63"/>
      <c r="U73" s="63"/>
      <c r="V73" s="63"/>
      <c r="W73" s="63"/>
      <c r="X73" s="63"/>
    </row>
    <row r="74" spans="3:24">
      <c r="C74" s="63"/>
      <c r="D74" s="63"/>
      <c r="E74" s="152"/>
      <c r="F74" s="63"/>
      <c r="G74" s="63"/>
      <c r="H74" s="63"/>
      <c r="I74" s="63"/>
      <c r="J74" s="63"/>
      <c r="K74" s="63"/>
      <c r="L74" s="63"/>
      <c r="M74" s="63"/>
      <c r="N74" s="63"/>
      <c r="O74" s="63"/>
      <c r="P74" s="63"/>
      <c r="Q74" s="63"/>
      <c r="R74" s="63"/>
      <c r="S74" s="63"/>
      <c r="T74" s="63"/>
      <c r="U74" s="63"/>
      <c r="V74" s="63"/>
      <c r="W74" s="63"/>
      <c r="X74" s="63"/>
    </row>
    <row r="75" spans="3:24">
      <c r="C75" s="63"/>
      <c r="D75" s="63"/>
      <c r="E75" s="152"/>
      <c r="F75" s="63"/>
      <c r="G75" s="63"/>
      <c r="H75" s="63"/>
      <c r="I75" s="63"/>
      <c r="J75" s="63"/>
      <c r="K75" s="63"/>
      <c r="L75" s="63"/>
      <c r="M75" s="63"/>
      <c r="N75" s="63"/>
      <c r="O75" s="63"/>
      <c r="P75" s="63"/>
      <c r="Q75" s="63"/>
      <c r="R75" s="63"/>
      <c r="S75" s="63"/>
      <c r="T75" s="63"/>
      <c r="U75" s="63"/>
      <c r="V75" s="63"/>
      <c r="W75" s="63"/>
      <c r="X75" s="63"/>
    </row>
    <row r="76" spans="3:24">
      <c r="C76" s="63"/>
      <c r="D76" s="63"/>
      <c r="E76" s="152"/>
      <c r="F76" s="63"/>
      <c r="G76" s="63"/>
      <c r="H76" s="63"/>
      <c r="I76" s="63"/>
      <c r="J76" s="63"/>
      <c r="K76" s="63"/>
      <c r="L76" s="63"/>
      <c r="M76" s="63"/>
      <c r="N76" s="63"/>
      <c r="O76" s="63"/>
      <c r="P76" s="63"/>
      <c r="Q76" s="63"/>
      <c r="R76" s="63"/>
      <c r="S76" s="63"/>
      <c r="T76" s="63"/>
      <c r="U76" s="63"/>
      <c r="V76" s="63"/>
      <c r="W76" s="63"/>
      <c r="X76" s="63"/>
    </row>
    <row r="77" spans="3:24">
      <c r="C77" s="63"/>
      <c r="D77" s="63"/>
      <c r="E77" s="152"/>
      <c r="F77" s="63"/>
      <c r="G77" s="63"/>
      <c r="H77" s="63"/>
      <c r="I77" s="63"/>
      <c r="J77" s="63"/>
      <c r="K77" s="63"/>
      <c r="L77" s="63"/>
      <c r="M77" s="63"/>
      <c r="N77" s="63"/>
      <c r="O77" s="63"/>
      <c r="P77" s="63"/>
      <c r="Q77" s="63"/>
      <c r="R77" s="63"/>
      <c r="S77" s="63"/>
      <c r="T77" s="63"/>
      <c r="U77" s="63"/>
      <c r="V77" s="63"/>
      <c r="W77" s="63"/>
      <c r="X77" s="63"/>
    </row>
    <row r="78" spans="3:24">
      <c r="C78" s="63"/>
      <c r="D78" s="63"/>
      <c r="E78" s="152"/>
      <c r="F78" s="63"/>
      <c r="G78" s="63"/>
      <c r="H78" s="63"/>
      <c r="I78" s="63"/>
      <c r="J78" s="63"/>
      <c r="K78" s="63"/>
      <c r="L78" s="63"/>
      <c r="M78" s="63"/>
      <c r="N78" s="63"/>
      <c r="O78" s="63"/>
      <c r="P78" s="63"/>
      <c r="Q78" s="63"/>
      <c r="R78" s="63"/>
      <c r="S78" s="63"/>
      <c r="T78" s="63"/>
      <c r="U78" s="63"/>
      <c r="V78" s="63"/>
      <c r="W78" s="63"/>
      <c r="X78" s="63"/>
    </row>
    <row r="79" spans="3:24">
      <c r="C79" s="63"/>
      <c r="D79" s="63"/>
      <c r="E79" s="152"/>
      <c r="F79" s="63"/>
      <c r="G79" s="63"/>
      <c r="H79" s="63"/>
      <c r="I79" s="63"/>
      <c r="J79" s="63"/>
      <c r="K79" s="63"/>
      <c r="L79" s="63"/>
      <c r="M79" s="63"/>
      <c r="N79" s="63"/>
      <c r="O79" s="63"/>
      <c r="P79" s="63"/>
      <c r="Q79" s="63"/>
      <c r="R79" s="63"/>
      <c r="S79" s="63"/>
      <c r="T79" s="63"/>
      <c r="U79" s="63"/>
      <c r="V79" s="63"/>
      <c r="W79" s="63"/>
      <c r="X79" s="63"/>
    </row>
    <row r="80" spans="3:24">
      <c r="C80" s="63"/>
      <c r="D80" s="63"/>
      <c r="E80" s="152"/>
      <c r="F80" s="63"/>
      <c r="G80" s="63"/>
      <c r="H80" s="63"/>
      <c r="I80" s="63"/>
      <c r="J80" s="63"/>
      <c r="K80" s="63"/>
      <c r="L80" s="63"/>
      <c r="M80" s="63"/>
      <c r="N80" s="63"/>
      <c r="O80" s="63"/>
      <c r="P80" s="63"/>
      <c r="Q80" s="63"/>
      <c r="R80" s="63"/>
      <c r="S80" s="63"/>
      <c r="T80" s="63"/>
      <c r="U80" s="63"/>
      <c r="V80" s="63"/>
      <c r="W80" s="63"/>
      <c r="X80" s="63"/>
    </row>
    <row r="81" spans="3:24">
      <c r="C81" s="63"/>
      <c r="D81" s="63"/>
      <c r="E81" s="152"/>
      <c r="F81" s="63"/>
      <c r="G81" s="63"/>
      <c r="H81" s="63"/>
      <c r="I81" s="63"/>
      <c r="J81" s="63"/>
      <c r="K81" s="63"/>
      <c r="L81" s="63"/>
      <c r="M81" s="63"/>
      <c r="N81" s="63"/>
      <c r="O81" s="63"/>
      <c r="P81" s="63"/>
      <c r="Q81" s="63"/>
      <c r="R81" s="63"/>
      <c r="S81" s="63"/>
      <c r="T81" s="63"/>
      <c r="U81" s="63"/>
      <c r="V81" s="63"/>
      <c r="W81" s="63"/>
      <c r="X81" s="63"/>
    </row>
    <row r="82" spans="3:24">
      <c r="C82" s="63"/>
      <c r="D82" s="63"/>
      <c r="E82" s="152"/>
      <c r="F82" s="63"/>
      <c r="G82" s="63"/>
      <c r="H82" s="63"/>
      <c r="I82" s="63"/>
      <c r="J82" s="63"/>
      <c r="K82" s="63"/>
      <c r="L82" s="63"/>
      <c r="M82" s="63"/>
      <c r="N82" s="63"/>
      <c r="O82" s="63"/>
      <c r="P82" s="63"/>
      <c r="Q82" s="63"/>
      <c r="R82" s="63"/>
      <c r="S82" s="63"/>
      <c r="T82" s="63"/>
      <c r="U82" s="63"/>
      <c r="V82" s="63"/>
      <c r="W82" s="63"/>
      <c r="X82" s="63"/>
    </row>
    <row r="83" spans="3:24">
      <c r="C83" s="63"/>
      <c r="D83" s="63"/>
      <c r="E83" s="152"/>
      <c r="F83" s="63"/>
      <c r="G83" s="63"/>
      <c r="H83" s="63"/>
      <c r="I83" s="63"/>
      <c r="J83" s="63"/>
      <c r="K83" s="63"/>
      <c r="L83" s="63"/>
      <c r="M83" s="63"/>
      <c r="N83" s="63"/>
      <c r="O83" s="63"/>
      <c r="P83" s="63"/>
      <c r="Q83" s="63"/>
      <c r="R83" s="63"/>
      <c r="S83" s="63"/>
      <c r="T83" s="63"/>
      <c r="U83" s="63"/>
      <c r="V83" s="63"/>
      <c r="W83" s="63"/>
      <c r="X83" s="63"/>
    </row>
    <row r="84" spans="3:24">
      <c r="C84" s="63"/>
      <c r="D84" s="63"/>
      <c r="E84" s="152"/>
      <c r="F84" s="63"/>
      <c r="G84" s="63"/>
      <c r="H84" s="63"/>
      <c r="I84" s="63"/>
      <c r="J84" s="63"/>
      <c r="K84" s="63"/>
      <c r="L84" s="63"/>
      <c r="M84" s="63"/>
      <c r="N84" s="63"/>
      <c r="O84" s="63"/>
      <c r="P84" s="63"/>
      <c r="Q84" s="63"/>
      <c r="R84" s="63"/>
      <c r="S84" s="63"/>
      <c r="T84" s="63"/>
      <c r="U84" s="63"/>
      <c r="V84" s="63"/>
      <c r="W84" s="63"/>
      <c r="X84" s="63"/>
    </row>
    <row r="85" spans="3:24">
      <c r="C85" s="63"/>
      <c r="D85" s="63"/>
      <c r="E85" s="152"/>
      <c r="F85" s="63"/>
      <c r="G85" s="63"/>
      <c r="H85" s="63"/>
      <c r="I85" s="63"/>
      <c r="J85" s="63"/>
      <c r="K85" s="63"/>
      <c r="L85" s="63"/>
      <c r="M85" s="63"/>
      <c r="N85" s="63"/>
      <c r="O85" s="63"/>
      <c r="P85" s="63"/>
      <c r="Q85" s="63"/>
      <c r="R85" s="63"/>
      <c r="S85" s="63"/>
      <c r="T85" s="63"/>
      <c r="U85" s="63"/>
      <c r="V85" s="63"/>
      <c r="W85" s="63"/>
      <c r="X85" s="63"/>
    </row>
    <row r="86" spans="3:24">
      <c r="C86" s="63"/>
      <c r="D86" s="63"/>
      <c r="E86" s="152"/>
      <c r="F86" s="63"/>
      <c r="G86" s="63"/>
      <c r="H86" s="63"/>
      <c r="I86" s="63"/>
      <c r="J86" s="63"/>
      <c r="K86" s="63"/>
      <c r="L86" s="63"/>
      <c r="M86" s="63"/>
      <c r="N86" s="63"/>
      <c r="O86" s="63"/>
      <c r="P86" s="63"/>
      <c r="Q86" s="63"/>
      <c r="R86" s="63"/>
      <c r="S86" s="63"/>
      <c r="T86" s="63"/>
      <c r="U86" s="63"/>
      <c r="V86" s="63"/>
      <c r="W86" s="63"/>
      <c r="X86" s="63"/>
    </row>
    <row r="87" spans="3:24">
      <c r="C87" s="63"/>
      <c r="D87" s="63"/>
      <c r="E87" s="152"/>
      <c r="F87" s="63"/>
      <c r="G87" s="63"/>
      <c r="H87" s="63"/>
      <c r="I87" s="63"/>
      <c r="J87" s="63"/>
      <c r="K87" s="63"/>
      <c r="L87" s="63"/>
      <c r="M87" s="63"/>
      <c r="N87" s="63"/>
      <c r="O87" s="63"/>
      <c r="P87" s="63"/>
      <c r="Q87" s="63"/>
      <c r="R87" s="63"/>
      <c r="S87" s="63"/>
      <c r="T87" s="63"/>
      <c r="U87" s="63"/>
      <c r="V87" s="63"/>
      <c r="W87" s="63"/>
      <c r="X87" s="63"/>
    </row>
    <row r="88" spans="3:24">
      <c r="C88" s="63"/>
      <c r="D88" s="63"/>
      <c r="E88" s="152"/>
      <c r="F88" s="63"/>
      <c r="G88" s="63"/>
      <c r="H88" s="63"/>
      <c r="I88" s="63"/>
      <c r="J88" s="63"/>
      <c r="K88" s="63"/>
      <c r="L88" s="63"/>
      <c r="M88" s="63"/>
      <c r="N88" s="63"/>
      <c r="O88" s="63"/>
      <c r="P88" s="63"/>
      <c r="Q88" s="63"/>
      <c r="R88" s="63"/>
      <c r="S88" s="63"/>
      <c r="T88" s="63"/>
      <c r="U88" s="63"/>
      <c r="V88" s="63"/>
      <c r="W88" s="63"/>
      <c r="X88" s="63"/>
    </row>
    <row r="89" spans="3:24">
      <c r="C89" s="63"/>
      <c r="D89" s="63"/>
      <c r="E89" s="152"/>
      <c r="F89" s="63"/>
      <c r="G89" s="63"/>
      <c r="H89" s="63"/>
      <c r="I89" s="63"/>
      <c r="J89" s="63"/>
      <c r="K89" s="63"/>
      <c r="L89" s="63"/>
      <c r="M89" s="63"/>
      <c r="N89" s="63"/>
      <c r="O89" s="63"/>
      <c r="P89" s="63"/>
      <c r="Q89" s="63"/>
      <c r="R89" s="63"/>
      <c r="S89" s="63"/>
      <c r="T89" s="63"/>
      <c r="U89" s="63"/>
      <c r="V89" s="63"/>
      <c r="W89" s="63"/>
      <c r="X89" s="63"/>
    </row>
    <row r="90" spans="3:24">
      <c r="C90" s="63"/>
      <c r="D90" s="63"/>
      <c r="E90" s="152"/>
      <c r="F90" s="63"/>
      <c r="G90" s="63"/>
      <c r="H90" s="63"/>
      <c r="I90" s="63"/>
      <c r="J90" s="63"/>
      <c r="K90" s="63"/>
      <c r="L90" s="63"/>
      <c r="M90" s="63"/>
      <c r="N90" s="63"/>
      <c r="O90" s="63"/>
      <c r="P90" s="63"/>
      <c r="Q90" s="63"/>
      <c r="R90" s="63"/>
      <c r="S90" s="63"/>
      <c r="T90" s="63"/>
      <c r="U90" s="63"/>
      <c r="V90" s="63"/>
      <c r="W90" s="63"/>
      <c r="X90" s="63"/>
    </row>
    <row r="91" spans="3:24">
      <c r="C91" s="63"/>
      <c r="D91" s="63"/>
      <c r="E91" s="152"/>
      <c r="F91" s="63"/>
      <c r="G91" s="63"/>
      <c r="H91" s="63"/>
      <c r="I91" s="63"/>
      <c r="J91" s="63"/>
      <c r="K91" s="63"/>
      <c r="L91" s="63"/>
      <c r="M91" s="63"/>
      <c r="N91" s="63"/>
      <c r="O91" s="63"/>
      <c r="P91" s="63"/>
      <c r="Q91" s="63"/>
      <c r="R91" s="63"/>
      <c r="S91" s="63"/>
      <c r="T91" s="63"/>
      <c r="U91" s="63"/>
      <c r="V91" s="63"/>
      <c r="W91" s="63"/>
      <c r="X91" s="63"/>
    </row>
    <row r="92" spans="3:24">
      <c r="C92" s="63"/>
      <c r="D92" s="63"/>
      <c r="E92" s="152"/>
      <c r="F92" s="63"/>
      <c r="G92" s="63"/>
      <c r="H92" s="63"/>
      <c r="I92" s="63"/>
      <c r="J92" s="63"/>
      <c r="K92" s="63"/>
      <c r="L92" s="63"/>
      <c r="M92" s="63"/>
      <c r="N92" s="63"/>
      <c r="O92" s="63"/>
      <c r="P92" s="63"/>
      <c r="Q92" s="63"/>
      <c r="R92" s="63"/>
      <c r="S92" s="63"/>
      <c r="T92" s="63"/>
      <c r="U92" s="63"/>
      <c r="V92" s="63"/>
      <c r="W92" s="63"/>
      <c r="X92" s="63"/>
    </row>
    <row r="93" spans="3:24">
      <c r="C93" s="63"/>
      <c r="D93" s="63"/>
      <c r="E93" s="152"/>
      <c r="F93" s="63"/>
      <c r="G93" s="63"/>
      <c r="H93" s="63"/>
      <c r="I93" s="63"/>
      <c r="J93" s="63"/>
      <c r="K93" s="63"/>
      <c r="L93" s="63"/>
      <c r="M93" s="63"/>
      <c r="N93" s="63"/>
      <c r="O93" s="63"/>
      <c r="P93" s="63"/>
      <c r="Q93" s="63"/>
      <c r="R93" s="63"/>
      <c r="S93" s="63"/>
      <c r="T93" s="63"/>
      <c r="U93" s="63"/>
      <c r="V93" s="63"/>
      <c r="W93" s="63"/>
      <c r="X93" s="63"/>
    </row>
    <row r="94" spans="3:24">
      <c r="C94" s="63"/>
      <c r="D94" s="63"/>
      <c r="E94" s="152"/>
      <c r="F94" s="63"/>
      <c r="G94" s="63"/>
      <c r="H94" s="63"/>
      <c r="I94" s="63"/>
      <c r="J94" s="63"/>
      <c r="K94" s="63"/>
      <c r="L94" s="63"/>
      <c r="M94" s="63"/>
      <c r="N94" s="63"/>
      <c r="O94" s="63"/>
      <c r="P94" s="63"/>
      <c r="Q94" s="63"/>
      <c r="R94" s="63"/>
      <c r="S94" s="63"/>
      <c r="T94" s="63"/>
      <c r="U94" s="63"/>
      <c r="V94" s="63"/>
      <c r="W94" s="63"/>
      <c r="X94" s="63"/>
    </row>
    <row r="95" spans="3:24">
      <c r="C95" s="63"/>
      <c r="D95" s="63"/>
      <c r="E95" s="152"/>
      <c r="F95" s="63"/>
      <c r="G95" s="63"/>
      <c r="H95" s="63"/>
      <c r="I95" s="63"/>
      <c r="J95" s="63"/>
      <c r="K95" s="63"/>
      <c r="L95" s="63"/>
      <c r="M95" s="63"/>
      <c r="N95" s="63"/>
      <c r="O95" s="63"/>
      <c r="P95" s="63"/>
      <c r="Q95" s="63"/>
      <c r="R95" s="63"/>
      <c r="S95" s="63"/>
      <c r="T95" s="63"/>
      <c r="U95" s="63"/>
      <c r="V95" s="63"/>
      <c r="W95" s="63"/>
      <c r="X95" s="63"/>
    </row>
    <row r="96" spans="3:24">
      <c r="C96" s="63"/>
      <c r="D96" s="63"/>
      <c r="E96" s="152"/>
      <c r="F96" s="63"/>
      <c r="G96" s="63"/>
      <c r="H96" s="63"/>
      <c r="I96" s="63"/>
      <c r="J96" s="63"/>
      <c r="K96" s="63"/>
      <c r="L96" s="63"/>
      <c r="M96" s="63"/>
      <c r="N96" s="63"/>
      <c r="O96" s="63"/>
      <c r="P96" s="63"/>
      <c r="Q96" s="63"/>
      <c r="R96" s="63"/>
      <c r="S96" s="63"/>
      <c r="T96" s="63"/>
      <c r="U96" s="63"/>
      <c r="V96" s="63"/>
      <c r="W96" s="63"/>
      <c r="X96" s="63"/>
    </row>
    <row r="97" spans="3:24">
      <c r="C97" s="63"/>
      <c r="D97" s="63"/>
      <c r="E97" s="152"/>
      <c r="F97" s="63"/>
      <c r="G97" s="63"/>
      <c r="H97" s="63"/>
      <c r="I97" s="63"/>
      <c r="J97" s="63"/>
      <c r="K97" s="63"/>
      <c r="L97" s="63"/>
      <c r="M97" s="63"/>
      <c r="N97" s="63"/>
      <c r="O97" s="63"/>
      <c r="P97" s="63"/>
      <c r="Q97" s="63"/>
      <c r="R97" s="63"/>
      <c r="S97" s="63"/>
      <c r="T97" s="63"/>
      <c r="U97" s="63"/>
      <c r="V97" s="63"/>
      <c r="W97" s="63"/>
      <c r="X97" s="63"/>
    </row>
    <row r="98" spans="3:24">
      <c r="C98" s="63"/>
      <c r="D98" s="63"/>
      <c r="E98" s="152"/>
      <c r="F98" s="63"/>
      <c r="G98" s="63"/>
      <c r="H98" s="63"/>
      <c r="I98" s="63"/>
      <c r="J98" s="63"/>
      <c r="K98" s="63"/>
      <c r="L98" s="63"/>
      <c r="M98" s="63"/>
      <c r="N98" s="63"/>
      <c r="O98" s="63"/>
      <c r="P98" s="63"/>
      <c r="Q98" s="63"/>
      <c r="R98" s="63"/>
      <c r="S98" s="63"/>
      <c r="T98" s="63"/>
      <c r="U98" s="63"/>
      <c r="V98" s="63"/>
      <c r="W98" s="63"/>
      <c r="X98" s="63"/>
    </row>
    <row r="99" spans="3:24">
      <c r="C99" s="63"/>
      <c r="D99" s="63"/>
      <c r="E99" s="152"/>
      <c r="F99" s="63"/>
      <c r="G99" s="63"/>
      <c r="H99" s="63"/>
      <c r="I99" s="63"/>
      <c r="J99" s="63"/>
      <c r="K99" s="63"/>
      <c r="L99" s="63"/>
      <c r="M99" s="63"/>
      <c r="N99" s="63"/>
      <c r="O99" s="63"/>
      <c r="P99" s="63"/>
      <c r="Q99" s="63"/>
      <c r="R99" s="63"/>
      <c r="S99" s="63"/>
      <c r="T99" s="63"/>
      <c r="U99" s="63"/>
      <c r="V99" s="63"/>
      <c r="W99" s="63"/>
      <c r="X99" s="63"/>
    </row>
    <row r="100" spans="3:24">
      <c r="C100" s="63"/>
      <c r="D100" s="63"/>
      <c r="E100" s="152"/>
      <c r="F100" s="63"/>
      <c r="G100" s="63"/>
      <c r="H100" s="63"/>
      <c r="I100" s="63"/>
      <c r="J100" s="63"/>
      <c r="K100" s="63"/>
      <c r="L100" s="63"/>
      <c r="M100" s="63"/>
      <c r="N100" s="63"/>
      <c r="O100" s="63"/>
      <c r="P100" s="63"/>
      <c r="Q100" s="63"/>
      <c r="R100" s="63"/>
      <c r="S100" s="63"/>
      <c r="T100" s="63"/>
      <c r="U100" s="63"/>
      <c r="V100" s="63"/>
      <c r="W100" s="63"/>
      <c r="X100" s="63"/>
    </row>
    <row r="101" spans="3:24">
      <c r="C101" s="63"/>
      <c r="D101" s="63"/>
      <c r="E101" s="152"/>
      <c r="F101" s="63"/>
      <c r="G101" s="63"/>
      <c r="H101" s="63"/>
      <c r="I101" s="63"/>
      <c r="J101" s="63"/>
      <c r="K101" s="63"/>
      <c r="L101" s="63"/>
      <c r="M101" s="63"/>
      <c r="N101" s="63"/>
      <c r="O101" s="63"/>
      <c r="P101" s="63"/>
      <c r="Q101" s="63"/>
      <c r="R101" s="63"/>
      <c r="S101" s="63"/>
      <c r="T101" s="63"/>
      <c r="U101" s="63"/>
      <c r="V101" s="63"/>
      <c r="W101" s="63"/>
      <c r="X101" s="63"/>
    </row>
    <row r="102" spans="3:24">
      <c r="C102" s="63"/>
      <c r="D102" s="63"/>
      <c r="E102" s="152"/>
      <c r="F102" s="63"/>
      <c r="G102" s="63"/>
      <c r="H102" s="63"/>
      <c r="I102" s="63"/>
      <c r="J102" s="63"/>
      <c r="K102" s="63"/>
      <c r="L102" s="63"/>
      <c r="M102" s="63"/>
      <c r="N102" s="63"/>
      <c r="O102" s="63"/>
      <c r="P102" s="63"/>
      <c r="Q102" s="63"/>
      <c r="R102" s="63"/>
      <c r="S102" s="63"/>
      <c r="T102" s="63"/>
      <c r="U102" s="63"/>
      <c r="V102" s="63"/>
      <c r="W102" s="63"/>
      <c r="X102" s="63"/>
    </row>
    <row r="103" spans="3:24">
      <c r="C103" s="63"/>
      <c r="D103" s="63"/>
      <c r="E103" s="152"/>
      <c r="F103" s="63"/>
      <c r="G103" s="63"/>
      <c r="H103" s="63"/>
      <c r="I103" s="63"/>
      <c r="J103" s="63"/>
      <c r="K103" s="63"/>
      <c r="L103" s="63"/>
      <c r="M103" s="63"/>
      <c r="N103" s="63"/>
      <c r="O103" s="63"/>
      <c r="P103" s="63"/>
      <c r="Q103" s="63"/>
      <c r="R103" s="63"/>
      <c r="S103" s="63"/>
      <c r="T103" s="63"/>
      <c r="U103" s="63"/>
      <c r="V103" s="63"/>
      <c r="W103" s="63"/>
      <c r="X103" s="63"/>
    </row>
    <row r="104" spans="3:24">
      <c r="C104" s="63"/>
      <c r="D104" s="63"/>
      <c r="E104" s="152"/>
      <c r="F104" s="63"/>
      <c r="G104" s="63"/>
      <c r="H104" s="63"/>
      <c r="I104" s="63"/>
      <c r="J104" s="63"/>
      <c r="K104" s="63"/>
      <c r="L104" s="63"/>
      <c r="M104" s="63"/>
      <c r="N104" s="63"/>
      <c r="O104" s="63"/>
      <c r="P104" s="63"/>
      <c r="Q104" s="63"/>
      <c r="R104" s="63"/>
      <c r="S104" s="63"/>
      <c r="T104" s="63"/>
      <c r="U104" s="63"/>
      <c r="V104" s="63"/>
      <c r="W104" s="63"/>
      <c r="X104" s="63"/>
    </row>
    <row r="105" spans="3:24">
      <c r="C105" s="63"/>
      <c r="D105" s="63"/>
      <c r="E105" s="152"/>
      <c r="F105" s="63"/>
      <c r="G105" s="63"/>
      <c r="H105" s="63"/>
      <c r="I105" s="63"/>
      <c r="J105" s="63"/>
      <c r="K105" s="63"/>
      <c r="L105" s="63"/>
      <c r="M105" s="63"/>
      <c r="N105" s="63"/>
      <c r="O105" s="63"/>
      <c r="P105" s="63"/>
      <c r="Q105" s="63"/>
      <c r="R105" s="63"/>
      <c r="S105" s="63"/>
      <c r="T105" s="63"/>
      <c r="U105" s="63"/>
      <c r="V105" s="63"/>
      <c r="W105" s="63"/>
      <c r="X105" s="63"/>
    </row>
    <row r="106" spans="3:24">
      <c r="C106" s="63"/>
      <c r="D106" s="63"/>
      <c r="E106" s="152"/>
      <c r="F106" s="63"/>
      <c r="G106" s="63"/>
      <c r="H106" s="63"/>
      <c r="I106" s="63"/>
      <c r="J106" s="63"/>
      <c r="K106" s="63"/>
      <c r="L106" s="63"/>
      <c r="M106" s="63"/>
      <c r="N106" s="63"/>
      <c r="O106" s="63"/>
      <c r="P106" s="63"/>
      <c r="Q106" s="63"/>
      <c r="R106" s="63"/>
      <c r="S106" s="63"/>
      <c r="T106" s="63"/>
      <c r="U106" s="63"/>
      <c r="V106" s="63"/>
      <c r="W106" s="63"/>
      <c r="X106" s="63"/>
    </row>
  </sheetData>
  <sheetProtection password="EAD7" sheet="1" objects="1" scenarios="1"/>
  <mergeCells count="13">
    <mergeCell ref="D1:F1"/>
    <mergeCell ref="A22:A27"/>
    <mergeCell ref="A29:A33"/>
    <mergeCell ref="J3:K3"/>
    <mergeCell ref="K9:K10"/>
    <mergeCell ref="F8:G8"/>
    <mergeCell ref="H8:I8"/>
    <mergeCell ref="J8:K8"/>
    <mergeCell ref="F9:F10"/>
    <mergeCell ref="H9:H10"/>
    <mergeCell ref="J9:J10"/>
    <mergeCell ref="G9:G10"/>
    <mergeCell ref="I9:I10"/>
  </mergeCells>
  <hyperlinks>
    <hyperlink ref="J3" location="Startseite!C7" display="zurück zur Startseite" xr:uid="{00000000-0004-0000-0D00-000000000000}"/>
  </hyperlinks>
  <printOptions horizontalCentered="1"/>
  <pageMargins left="0.6692913385826772" right="7.874015748031496E-2" top="1.1811023622047245" bottom="0" header="0.51181102362204722" footer="0.43307086614173229"/>
  <pageSetup paperSize="9" scale="82"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theme="5" tint="0.79998168889431442"/>
    <pageSetUpPr autoPageBreaks="0"/>
  </sheetPr>
  <dimension ref="A2:AK160"/>
  <sheetViews>
    <sheetView showGridLines="0" zoomScale="95" zoomScaleNormal="95" workbookViewId="0">
      <selection activeCell="E8" sqref="E8"/>
    </sheetView>
  </sheetViews>
  <sheetFormatPr baseColWidth="10" defaultColWidth="11.44140625" defaultRowHeight="13.2" outlineLevelRow="1"/>
  <cols>
    <col min="1" max="1" width="22.5546875" style="2" customWidth="1"/>
    <col min="2" max="2" width="5.5546875" style="2" customWidth="1"/>
    <col min="3" max="3" width="25.88671875" style="2" customWidth="1"/>
    <col min="4" max="4" width="17.6640625" style="2" customWidth="1"/>
    <col min="5" max="5" width="15.109375" style="2" customWidth="1"/>
    <col min="6" max="6" width="11.33203125" style="2" customWidth="1"/>
    <col min="7" max="7" width="13.6640625" style="2" customWidth="1"/>
    <col min="8" max="8" width="13.44140625" style="2" customWidth="1"/>
    <col min="9" max="9" width="13.33203125" style="963" customWidth="1"/>
    <col min="10" max="10" width="12.33203125" style="2" customWidth="1"/>
    <col min="11" max="11" width="13.6640625" style="2" customWidth="1"/>
    <col min="12" max="12" width="14.33203125" style="2" customWidth="1"/>
    <col min="13" max="13" width="12" style="963" customWidth="1"/>
    <col min="14" max="14" width="9.6640625" style="2" customWidth="1"/>
    <col min="15" max="15" width="9.5546875" style="2" customWidth="1"/>
    <col min="16" max="16" width="9.44140625" style="2" customWidth="1"/>
    <col min="17" max="18" width="9" style="2" customWidth="1"/>
    <col min="19" max="19" width="12.6640625" style="2" customWidth="1"/>
    <col min="20" max="20" width="7.33203125" style="2" customWidth="1"/>
    <col min="21" max="21" width="8.88671875" style="2" customWidth="1"/>
    <col min="22" max="22" width="8.33203125" style="2" customWidth="1"/>
    <col min="23" max="16384" width="11.44140625" style="2"/>
  </cols>
  <sheetData>
    <row r="2" spans="1:30">
      <c r="A2" s="1146" t="s">
        <v>503</v>
      </c>
      <c r="B2" s="1147"/>
      <c r="D2" s="1144" t="s">
        <v>502</v>
      </c>
      <c r="E2" s="1145"/>
    </row>
    <row r="4" spans="1:30">
      <c r="A4" s="63"/>
      <c r="B4" s="63"/>
      <c r="C4" s="63"/>
      <c r="D4" s="63"/>
      <c r="E4" s="63"/>
      <c r="F4" s="63"/>
      <c r="G4" s="63"/>
      <c r="H4" s="63"/>
      <c r="I4" s="964"/>
      <c r="J4" s="63"/>
      <c r="K4" s="63"/>
      <c r="L4" s="63"/>
      <c r="M4" s="964"/>
      <c r="N4" s="63"/>
      <c r="O4" s="63"/>
      <c r="P4" s="63"/>
      <c r="Q4" s="63"/>
      <c r="R4" s="63"/>
      <c r="S4" s="63"/>
      <c r="T4" s="63"/>
      <c r="U4" s="63"/>
      <c r="V4" s="63"/>
      <c r="W4" s="63"/>
      <c r="X4" s="63"/>
      <c r="Y4" s="63"/>
      <c r="Z4" s="63"/>
      <c r="AA4" s="63"/>
      <c r="AB4" s="63"/>
      <c r="AC4" s="63"/>
      <c r="AD4" s="63"/>
    </row>
    <row r="5" spans="1:30">
      <c r="A5" s="63"/>
      <c r="B5" s="63"/>
      <c r="C5" s="63"/>
      <c r="D5" s="63"/>
      <c r="E5" s="63"/>
      <c r="F5" s="63"/>
      <c r="G5" s="63"/>
      <c r="H5" s="63"/>
      <c r="I5" s="964"/>
      <c r="J5" s="63"/>
      <c r="K5" s="63"/>
      <c r="L5" s="63"/>
      <c r="M5" s="964"/>
      <c r="N5" s="63"/>
      <c r="O5" s="63"/>
      <c r="P5" s="63"/>
      <c r="Q5" s="63"/>
      <c r="R5" s="63"/>
      <c r="S5" s="63"/>
      <c r="T5" s="63"/>
      <c r="U5" s="63"/>
      <c r="V5" s="63"/>
      <c r="W5" s="63"/>
      <c r="X5" s="63"/>
      <c r="Y5" s="63"/>
      <c r="Z5" s="63"/>
      <c r="AA5" s="63"/>
      <c r="AB5" s="63"/>
      <c r="AC5" s="63"/>
      <c r="AD5" s="63"/>
    </row>
    <row r="6" spans="1:30">
      <c r="A6" s="63"/>
      <c r="B6" s="63"/>
      <c r="C6" s="63"/>
      <c r="D6" s="63"/>
      <c r="E6" s="63"/>
      <c r="F6" s="63"/>
      <c r="G6" s="63"/>
      <c r="H6" s="63"/>
      <c r="I6" s="964"/>
      <c r="J6" s="63"/>
      <c r="K6" s="63"/>
      <c r="L6" s="63"/>
      <c r="M6" s="964"/>
      <c r="N6" s="63"/>
      <c r="O6" s="63"/>
      <c r="P6" s="63"/>
      <c r="Q6" s="63"/>
      <c r="R6" s="63"/>
      <c r="S6" s="63"/>
      <c r="T6" s="63"/>
      <c r="U6" s="63"/>
      <c r="V6" s="63"/>
      <c r="W6" s="63"/>
      <c r="X6" s="63"/>
      <c r="Y6" s="63"/>
      <c r="Z6" s="63"/>
      <c r="AA6" s="63"/>
      <c r="AB6" s="63"/>
      <c r="AC6" s="63"/>
      <c r="AD6" s="63"/>
    </row>
    <row r="7" spans="1:30">
      <c r="A7" s="63"/>
      <c r="B7" s="63"/>
      <c r="C7" s="63"/>
      <c r="D7" s="580"/>
      <c r="E7" s="63"/>
      <c r="F7" s="63"/>
      <c r="G7" s="63"/>
      <c r="H7" s="63"/>
      <c r="I7" s="964"/>
      <c r="J7" s="63"/>
      <c r="K7" s="63"/>
      <c r="L7" s="63"/>
      <c r="M7" s="964"/>
      <c r="N7" s="63"/>
      <c r="O7" s="63"/>
      <c r="P7" s="63"/>
      <c r="Q7" s="63"/>
      <c r="R7" s="63"/>
      <c r="S7" s="63"/>
      <c r="T7" s="63"/>
      <c r="U7" s="63"/>
      <c r="V7" s="63"/>
      <c r="W7" s="63"/>
      <c r="X7" s="63"/>
      <c r="Y7" s="63"/>
      <c r="Z7" s="63"/>
      <c r="AA7" s="63"/>
      <c r="AB7" s="63"/>
      <c r="AC7" s="63"/>
      <c r="AD7" s="63"/>
    </row>
    <row r="8" spans="1:30" ht="17.399999999999999">
      <c r="A8" s="347"/>
      <c r="B8" s="131"/>
      <c r="C8" s="348"/>
      <c r="D8" s="581" t="s">
        <v>438</v>
      </c>
      <c r="E8" s="880">
        <v>1</v>
      </c>
      <c r="F8" s="63"/>
      <c r="G8" s="63"/>
      <c r="H8" s="63"/>
      <c r="I8" s="415"/>
      <c r="J8" s="63"/>
      <c r="K8" s="63"/>
      <c r="L8" s="261"/>
      <c r="M8" s="967"/>
      <c r="N8" s="261"/>
      <c r="O8" s="261"/>
      <c r="P8" s="63"/>
      <c r="Q8" s="63"/>
      <c r="R8" s="63"/>
      <c r="S8" s="63"/>
      <c r="T8" s="63"/>
      <c r="U8" s="63"/>
      <c r="V8" s="63"/>
      <c r="W8" s="63"/>
      <c r="X8" s="63"/>
      <c r="Y8" s="112"/>
      <c r="Z8" s="63"/>
      <c r="AA8" s="63"/>
      <c r="AB8" s="63"/>
      <c r="AC8" s="63"/>
      <c r="AD8" s="63"/>
    </row>
    <row r="9" spans="1:30">
      <c r="A9" s="351"/>
      <c r="B9" s="132"/>
      <c r="C9" s="352"/>
      <c r="D9" s="1152" t="str">
        <f>IF($E$8=1,Rentabilität!F8,IF($E$8=2,Rentabilität!H8,IF($E$8=3,Rentabilität!J8,0)))</f>
        <v>(Nov. 2024 - Okt. 2025)</v>
      </c>
      <c r="E9" s="1153"/>
      <c r="F9" s="63"/>
      <c r="G9" s="63"/>
      <c r="H9" s="63"/>
      <c r="I9" s="415"/>
      <c r="J9" s="63"/>
      <c r="K9" s="63"/>
      <c r="M9" s="967"/>
      <c r="N9" s="261"/>
      <c r="O9" s="261"/>
      <c r="P9" s="63"/>
      <c r="Q9" s="63"/>
      <c r="R9" s="63"/>
      <c r="S9" s="120"/>
      <c r="T9" s="120"/>
      <c r="U9" s="120"/>
      <c r="V9" s="63"/>
      <c r="W9" s="63"/>
      <c r="X9" s="63"/>
      <c r="Y9" s="63"/>
      <c r="Z9" s="63"/>
      <c r="AA9" s="63"/>
      <c r="AB9" s="63"/>
      <c r="AC9" s="63"/>
      <c r="AD9" s="63"/>
    </row>
    <row r="10" spans="1:30">
      <c r="A10" s="95" t="s">
        <v>0</v>
      </c>
      <c r="B10" s="68"/>
      <c r="C10" s="352"/>
      <c r="D10" s="1154" t="s">
        <v>29</v>
      </c>
      <c r="E10" s="1154" t="s">
        <v>1</v>
      </c>
      <c r="F10" s="63"/>
      <c r="G10" s="63"/>
      <c r="H10" s="63"/>
      <c r="I10" s="415"/>
      <c r="J10" s="63"/>
      <c r="K10" s="63"/>
      <c r="L10" s="262"/>
      <c r="M10" s="967"/>
      <c r="N10" s="261"/>
      <c r="O10" s="261"/>
      <c r="P10" s="63"/>
      <c r="Q10" s="63"/>
      <c r="R10" s="63"/>
      <c r="S10" s="120"/>
      <c r="T10" s="120"/>
      <c r="U10" s="120"/>
      <c r="V10" s="63"/>
      <c r="W10" s="63"/>
      <c r="X10" s="63"/>
      <c r="Y10" s="63"/>
      <c r="Z10" s="63"/>
      <c r="AA10" s="63"/>
      <c r="AB10" s="63"/>
      <c r="AC10" s="63"/>
      <c r="AD10" s="63"/>
    </row>
    <row r="11" spans="1:30" ht="17.399999999999999">
      <c r="A11" s="354"/>
      <c r="B11" s="69"/>
      <c r="C11" s="221"/>
      <c r="D11" s="1347"/>
      <c r="E11" s="1347"/>
      <c r="F11" s="63"/>
      <c r="G11" s="63"/>
      <c r="H11" s="63"/>
      <c r="I11" s="415"/>
      <c r="J11" s="63"/>
      <c r="K11" s="63"/>
      <c r="L11" s="63"/>
      <c r="M11" s="964"/>
      <c r="N11" s="63"/>
      <c r="O11" s="63"/>
      <c r="P11" s="63"/>
      <c r="Q11" s="63"/>
      <c r="R11" s="63"/>
      <c r="S11" s="120"/>
      <c r="T11" s="120"/>
      <c r="U11" s="120"/>
      <c r="V11" s="63"/>
      <c r="W11" s="63"/>
      <c r="X11" s="63"/>
      <c r="Y11" s="112"/>
      <c r="Z11" s="63"/>
      <c r="AA11" s="63"/>
      <c r="AB11" s="63"/>
      <c r="AC11" s="63"/>
      <c r="AD11" s="63"/>
    </row>
    <row r="12" spans="1:30">
      <c r="A12" s="145" t="s">
        <v>104</v>
      </c>
      <c r="B12" s="154"/>
      <c r="C12" s="582"/>
      <c r="D12" s="583"/>
      <c r="E12" s="431"/>
      <c r="F12" s="63"/>
      <c r="G12" s="63"/>
      <c r="H12" s="63"/>
      <c r="I12" s="415"/>
      <c r="J12" s="63"/>
      <c r="K12" s="63"/>
      <c r="L12" s="63"/>
      <c r="M12" s="415"/>
      <c r="N12" s="63"/>
      <c r="O12" s="63"/>
      <c r="P12" s="63"/>
      <c r="Q12" s="63"/>
      <c r="R12" s="63"/>
      <c r="S12" s="123"/>
      <c r="T12" s="120"/>
      <c r="U12" s="120"/>
      <c r="V12" s="63"/>
      <c r="W12" s="63"/>
      <c r="X12" s="63"/>
      <c r="Y12" s="63"/>
      <c r="Z12" s="63"/>
      <c r="AA12" s="63"/>
      <c r="AB12" s="63"/>
      <c r="AC12" s="63"/>
      <c r="AD12" s="63"/>
    </row>
    <row r="13" spans="1:30">
      <c r="A13" s="88" t="s">
        <v>317</v>
      </c>
      <c r="B13" s="1309">
        <f>Rentabilität!D12</f>
        <v>0</v>
      </c>
      <c r="C13" s="1310"/>
      <c r="D13" s="808">
        <f>IF(E$8=1,IF(Rentabilität!$F$22&gt;Umsatzplanung!$D$19,Rentabilität!F12,Umsatzplanung!D19),IF(E$8=2,IF(Rentabilität!$H$22&gt;Umsatzplanung!$F$19,Rentabilität!H12,Umsatzplanung!F19),IF(E$8=3,IF(Rentabilität!$J$22&gt;Umsatzplanung!$H$19,Rentabilität!J12,Umsatzplanung!H19),0)))</f>
        <v>0</v>
      </c>
      <c r="E13" s="584" t="str">
        <f>IF(D$23=0,"",(D13/D$23*100))</f>
        <v/>
      </c>
      <c r="F13" s="63"/>
      <c r="G13" s="63"/>
      <c r="H13" s="63"/>
      <c r="I13" s="415"/>
      <c r="J13" s="63"/>
      <c r="K13" s="63"/>
      <c r="L13" s="370"/>
      <c r="M13" s="415"/>
      <c r="N13" s="63"/>
      <c r="O13" s="63"/>
      <c r="P13" s="63"/>
      <c r="Q13" s="63"/>
      <c r="R13" s="63"/>
      <c r="S13" s="123"/>
      <c r="T13" s="120"/>
      <c r="U13" s="120"/>
      <c r="V13" s="63"/>
      <c r="W13" s="63"/>
      <c r="X13" s="63"/>
      <c r="Y13" s="63"/>
      <c r="Z13" s="63"/>
      <c r="AA13" s="63"/>
      <c r="AB13" s="63"/>
      <c r="AC13" s="63"/>
      <c r="AD13" s="63"/>
    </row>
    <row r="14" spans="1:30" ht="12.75" customHeight="1">
      <c r="A14" s="88" t="s">
        <v>318</v>
      </c>
      <c r="B14" s="1309">
        <f>Rentabilität!D13</f>
        <v>0</v>
      </c>
      <c r="C14" s="1310"/>
      <c r="D14" s="808">
        <f>IF(E$8=1,IF(Rentabilität!$F$22&gt;Umsatzplanung!$D$19,Rentabilität!F13,0),IF(E$8=2,IF(Rentabilität!$H$22&gt;Umsatzplanung!$F$19,Rentabilität!H13,0),IF(E$8=3,IF(Rentabilität!$J$22&gt;Umsatzplanung!$H$19,Rentabilität!J13,0),0)))</f>
        <v>0</v>
      </c>
      <c r="E14" s="585" t="str">
        <f>IF(D$23=0,"",(D14/D$23*100))</f>
        <v/>
      </c>
      <c r="F14" s="63"/>
      <c r="G14" s="116"/>
      <c r="H14" s="63"/>
      <c r="I14" s="415"/>
      <c r="J14" s="63"/>
      <c r="K14" s="63"/>
      <c r="L14" s="63"/>
      <c r="M14" s="415"/>
      <c r="N14" s="63"/>
      <c r="O14" s="63"/>
      <c r="P14" s="116"/>
      <c r="Q14" s="63"/>
      <c r="R14" s="63"/>
      <c r="S14" s="63"/>
      <c r="T14" s="120"/>
      <c r="U14" s="120"/>
      <c r="V14" s="63"/>
      <c r="W14" s="63"/>
      <c r="X14" s="63"/>
      <c r="Y14" s="112"/>
      <c r="Z14" s="63"/>
      <c r="AA14" s="63"/>
      <c r="AB14" s="63"/>
      <c r="AC14" s="63"/>
      <c r="AD14" s="63"/>
    </row>
    <row r="15" spans="1:30" ht="13.5" customHeight="1">
      <c r="A15" s="88" t="s">
        <v>319</v>
      </c>
      <c r="B15" s="1309">
        <f>Rentabilität!D14</f>
        <v>0</v>
      </c>
      <c r="C15" s="1310"/>
      <c r="D15" s="808">
        <f>IF(E$8=1,IF(Rentabilität!$F$22&gt;Umsatzplanung!$D$19,Rentabilität!F14,0),IF(E$8=2,IF(Rentabilität!$H$22&gt;Umsatzplanung!$F$19,Rentabilität!H14,0),IF(E$8=3,IF(Rentabilität!$J$22&gt;Umsatzplanung!$H$19,Rentabilität!J14,0),0)))</f>
        <v>0</v>
      </c>
      <c r="E15" s="585" t="str">
        <f>IF(D$23=0,"",(D15/D$23*100))</f>
        <v/>
      </c>
      <c r="F15" s="63"/>
      <c r="G15" s="116"/>
      <c r="H15" s="63"/>
      <c r="I15" s="415"/>
      <c r="J15" s="63"/>
      <c r="K15" s="63"/>
      <c r="L15" s="63"/>
      <c r="M15" s="964"/>
      <c r="N15" s="63"/>
      <c r="O15" s="63"/>
      <c r="P15" s="63"/>
      <c r="Q15" s="63"/>
      <c r="R15" s="63"/>
      <c r="S15" s="63"/>
      <c r="T15" s="120"/>
      <c r="U15" s="120"/>
      <c r="V15" s="120"/>
      <c r="W15" s="63"/>
      <c r="X15" s="63"/>
      <c r="Y15" s="63"/>
      <c r="Z15" s="63"/>
      <c r="AA15" s="63"/>
      <c r="AB15" s="63"/>
      <c r="AC15" s="63"/>
      <c r="AD15" s="63"/>
    </row>
    <row r="16" spans="1:30">
      <c r="A16" s="88" t="s">
        <v>320</v>
      </c>
      <c r="B16" s="1309">
        <f>Rentabilität!D15</f>
        <v>0</v>
      </c>
      <c r="C16" s="1310"/>
      <c r="D16" s="808">
        <f>IF(E$8=1,IF(Rentabilität!$F$22&gt;Umsatzplanung!$D$19,Rentabilität!F15,0),IF(E$8=2,IF(Rentabilität!$H$22&gt;Umsatzplanung!$F$19,Rentabilität!H15,0),IF(E$8=3,IF(Rentabilität!$J$22&gt;Umsatzplanung!$H$19,Rentabilität!J15,0),0)))</f>
        <v>0</v>
      </c>
      <c r="E16" s="585" t="str">
        <f>IF(D$23=0,"",(D16/D$23*100))</f>
        <v/>
      </c>
      <c r="F16" s="63"/>
      <c r="G16" s="63"/>
      <c r="H16" s="63"/>
      <c r="I16" s="415"/>
      <c r="J16" s="63"/>
      <c r="K16" s="63"/>
      <c r="L16" s="63"/>
      <c r="M16" s="964"/>
      <c r="N16" s="63"/>
      <c r="O16" s="63"/>
      <c r="P16" s="63"/>
      <c r="Q16" s="63"/>
      <c r="R16" s="63"/>
      <c r="S16" s="63"/>
      <c r="T16" s="63"/>
      <c r="U16" s="63"/>
      <c r="V16" s="63"/>
      <c r="W16" s="63"/>
      <c r="X16" s="63"/>
      <c r="Y16" s="63"/>
      <c r="Z16" s="63"/>
      <c r="AA16" s="63"/>
      <c r="AB16" s="63"/>
      <c r="AC16" s="63"/>
      <c r="AD16" s="63"/>
    </row>
    <row r="17" spans="1:30" hidden="1" outlineLevel="1">
      <c r="A17" s="88" t="s">
        <v>449</v>
      </c>
      <c r="B17" s="1309">
        <f>Rentabilität!D16</f>
        <v>0</v>
      </c>
      <c r="C17" s="1310"/>
      <c r="D17" s="808">
        <f>IF(E$8=1,Rentabilität!F16,IF(E$8=2,Rentabilität!H16,IF(E$8=3,Rentabilität!J16,0)))</f>
        <v>0</v>
      </c>
      <c r="E17" s="584" t="str">
        <f t="shared" ref="E17:E22" si="0">IF(D$23=0,"",(D17/D$23*100))</f>
        <v/>
      </c>
      <c r="F17" s="63"/>
      <c r="G17" s="63"/>
      <c r="H17" s="63"/>
      <c r="I17" s="415"/>
      <c r="J17" s="63"/>
      <c r="K17" s="63"/>
      <c r="L17" s="63"/>
      <c r="M17" s="964"/>
      <c r="N17" s="63"/>
      <c r="O17" s="63"/>
      <c r="P17" s="63"/>
      <c r="Q17" s="63"/>
      <c r="R17" s="63"/>
      <c r="S17" s="63"/>
      <c r="T17" s="63"/>
      <c r="U17" s="63"/>
      <c r="V17" s="63"/>
      <c r="W17" s="63"/>
      <c r="X17" s="63"/>
      <c r="Y17" s="63"/>
      <c r="Z17" s="63"/>
      <c r="AA17" s="63"/>
      <c r="AB17" s="63"/>
      <c r="AC17" s="63"/>
      <c r="AD17" s="63"/>
    </row>
    <row r="18" spans="1:30" hidden="1" outlineLevel="1">
      <c r="A18" s="88" t="s">
        <v>450</v>
      </c>
      <c r="B18" s="1309">
        <f>Rentabilität!D17</f>
        <v>0</v>
      </c>
      <c r="C18" s="1310"/>
      <c r="D18" s="808">
        <f>IF(E$8=1,Rentabilität!F17,IF(E$8=2,Rentabilität!H17,IF(E$8=3,Rentabilität!J17,0)))</f>
        <v>0</v>
      </c>
      <c r="E18" s="585" t="str">
        <f t="shared" si="0"/>
        <v/>
      </c>
      <c r="F18" s="63"/>
      <c r="G18" s="63"/>
      <c r="H18" s="63"/>
      <c r="I18" s="415"/>
      <c r="J18" s="63"/>
      <c r="K18" s="63"/>
      <c r="L18" s="63"/>
      <c r="M18" s="964"/>
      <c r="N18" s="63"/>
      <c r="O18" s="63"/>
      <c r="P18" s="63"/>
      <c r="Q18" s="63"/>
      <c r="R18" s="63"/>
      <c r="S18" s="63"/>
      <c r="T18" s="63"/>
      <c r="U18" s="63"/>
      <c r="V18" s="63"/>
      <c r="W18" s="63"/>
      <c r="X18" s="63"/>
      <c r="Y18" s="63"/>
      <c r="Z18" s="63"/>
      <c r="AA18" s="63"/>
      <c r="AB18" s="63"/>
      <c r="AC18" s="63"/>
      <c r="AD18" s="63"/>
    </row>
    <row r="19" spans="1:30" hidden="1" outlineLevel="1">
      <c r="A19" s="88" t="s">
        <v>451</v>
      </c>
      <c r="B19" s="1309">
        <f>Rentabilität!D18</f>
        <v>0</v>
      </c>
      <c r="C19" s="1310"/>
      <c r="D19" s="808">
        <f>IF(E$8=1,Rentabilität!F18,IF(E$8=2,Rentabilität!H18,IF(E$8=3,Rentabilität!J18,0)))</f>
        <v>0</v>
      </c>
      <c r="E19" s="585" t="str">
        <f t="shared" si="0"/>
        <v/>
      </c>
      <c r="F19" s="63"/>
      <c r="G19" s="63"/>
      <c r="H19" s="63"/>
      <c r="I19" s="415"/>
      <c r="J19" s="63"/>
      <c r="K19" s="63"/>
      <c r="L19" s="63"/>
      <c r="M19" s="964"/>
      <c r="N19" s="63"/>
      <c r="O19" s="63"/>
      <c r="P19" s="63"/>
      <c r="Q19" s="63"/>
      <c r="R19" s="63"/>
      <c r="S19" s="63"/>
      <c r="T19" s="63"/>
      <c r="U19" s="63"/>
      <c r="V19" s="63"/>
      <c r="W19" s="63"/>
      <c r="X19" s="63"/>
      <c r="Y19" s="63"/>
      <c r="Z19" s="63"/>
      <c r="AA19" s="63"/>
      <c r="AB19" s="63"/>
      <c r="AC19" s="63"/>
      <c r="AD19" s="63"/>
    </row>
    <row r="20" spans="1:30" hidden="1" outlineLevel="1">
      <c r="A20" s="88" t="s">
        <v>452</v>
      </c>
      <c r="B20" s="1309">
        <f>Rentabilität!D19</f>
        <v>0</v>
      </c>
      <c r="C20" s="1310"/>
      <c r="D20" s="808">
        <f>IF(E$8=1,Rentabilität!F19,IF(E$8=2,Rentabilität!H19,IF(E$8=3,Rentabilität!J19,0)))</f>
        <v>0</v>
      </c>
      <c r="E20" s="585" t="str">
        <f t="shared" si="0"/>
        <v/>
      </c>
      <c r="F20" s="63"/>
      <c r="G20" s="63"/>
      <c r="H20" s="63"/>
      <c r="I20" s="415"/>
      <c r="J20" s="63"/>
      <c r="K20" s="63"/>
      <c r="L20" s="63"/>
      <c r="M20" s="964"/>
      <c r="N20" s="63"/>
      <c r="O20" s="63"/>
      <c r="P20" s="63"/>
      <c r="Q20" s="63"/>
      <c r="R20" s="63"/>
      <c r="S20" s="63"/>
      <c r="T20" s="63"/>
      <c r="U20" s="63"/>
      <c r="V20" s="63"/>
      <c r="W20" s="63"/>
      <c r="X20" s="63"/>
      <c r="Y20" s="63"/>
      <c r="Z20" s="63"/>
      <c r="AA20" s="63"/>
      <c r="AB20" s="63"/>
      <c r="AC20" s="63"/>
      <c r="AD20" s="63"/>
    </row>
    <row r="21" spans="1:30" hidden="1" outlineLevel="1">
      <c r="A21" s="88" t="s">
        <v>453</v>
      </c>
      <c r="B21" s="1309">
        <f>Rentabilität!D20</f>
        <v>0</v>
      </c>
      <c r="C21" s="1310"/>
      <c r="D21" s="808">
        <f>IF(E$8=1,Rentabilität!F20,IF(E$8=2,Rentabilität!H20,IF(E$8=3,Rentabilität!J20,0)))</f>
        <v>0</v>
      </c>
      <c r="E21" s="584" t="str">
        <f t="shared" si="0"/>
        <v/>
      </c>
      <c r="F21" s="63"/>
      <c r="G21" s="63"/>
      <c r="H21" s="63"/>
      <c r="I21" s="415"/>
      <c r="J21" s="63"/>
      <c r="K21" s="63"/>
      <c r="L21" s="63"/>
      <c r="M21" s="964"/>
      <c r="N21" s="63"/>
      <c r="O21" s="63"/>
      <c r="P21" s="63"/>
      <c r="Q21" s="63"/>
      <c r="R21" s="63"/>
      <c r="S21" s="63"/>
      <c r="T21" s="63"/>
      <c r="U21" s="63"/>
      <c r="V21" s="63"/>
      <c r="W21" s="63"/>
      <c r="X21" s="63"/>
      <c r="Y21" s="63"/>
      <c r="Z21" s="63"/>
      <c r="AA21" s="63"/>
      <c r="AB21" s="63"/>
      <c r="AC21" s="63"/>
      <c r="AD21" s="63"/>
    </row>
    <row r="22" spans="1:30" hidden="1" outlineLevel="1">
      <c r="A22" s="88" t="s">
        <v>454</v>
      </c>
      <c r="B22" s="1309">
        <f>Rentabilität!D21</f>
        <v>0</v>
      </c>
      <c r="C22" s="1310"/>
      <c r="D22" s="808">
        <f>IF(E$8=1,Rentabilität!F21,IF(E$8=2,Rentabilität!H21,IF(E$8=3,Rentabilität!J21,0)))</f>
        <v>0</v>
      </c>
      <c r="E22" s="585" t="str">
        <f t="shared" si="0"/>
        <v/>
      </c>
      <c r="F22" s="63"/>
      <c r="G22" s="63"/>
      <c r="H22" s="63"/>
      <c r="I22" s="415"/>
      <c r="J22" s="63"/>
      <c r="K22" s="63"/>
      <c r="L22" s="63"/>
      <c r="M22" s="964"/>
      <c r="N22" s="63"/>
      <c r="O22" s="63"/>
      <c r="P22" s="63"/>
      <c r="Q22" s="63"/>
      <c r="R22" s="63"/>
      <c r="S22" s="63"/>
      <c r="T22" s="63"/>
      <c r="U22" s="63"/>
      <c r="V22" s="63"/>
      <c r="W22" s="63"/>
      <c r="X22" s="63"/>
      <c r="Y22" s="63"/>
      <c r="Z22" s="63"/>
      <c r="AA22" s="63"/>
      <c r="AB22" s="63"/>
      <c r="AC22" s="63"/>
      <c r="AD22" s="63"/>
    </row>
    <row r="23" spans="1:30" collapsed="1">
      <c r="A23" s="145" t="s">
        <v>53</v>
      </c>
      <c r="B23" s="154"/>
      <c r="C23" s="586"/>
      <c r="D23" s="587">
        <f>SUM(D12:D22)</f>
        <v>0</v>
      </c>
      <c r="E23" s="588" t="str">
        <f>IF(D$23=0,"",(D23/D$23*100))</f>
        <v/>
      </c>
      <c r="F23" s="63"/>
      <c r="G23" s="589" t="s">
        <v>413</v>
      </c>
      <c r="H23" s="117"/>
      <c r="I23" s="420" t="s">
        <v>1</v>
      </c>
      <c r="J23" s="129" t="s">
        <v>29</v>
      </c>
      <c r="K23" s="63"/>
      <c r="L23" s="63"/>
      <c r="M23" s="415"/>
      <c r="N23" s="63"/>
      <c r="O23" s="63"/>
      <c r="P23" s="63"/>
      <c r="Q23" s="63"/>
      <c r="R23" s="63"/>
      <c r="S23" s="63"/>
      <c r="T23" s="63"/>
      <c r="U23" s="63"/>
      <c r="V23" s="63"/>
      <c r="W23" s="63"/>
      <c r="X23" s="63"/>
      <c r="Y23" s="63"/>
      <c r="Z23" s="63"/>
      <c r="AA23" s="63"/>
      <c r="AB23" s="63"/>
      <c r="AC23" s="63"/>
      <c r="AD23" s="63"/>
    </row>
    <row r="24" spans="1:30">
      <c r="A24" s="95" t="s">
        <v>295</v>
      </c>
      <c r="B24" s="68"/>
      <c r="C24" s="590"/>
      <c r="D24" s="886">
        <f>IF($E$8=1,Rentabilität!F23,IF($E$8=2,Rentabilität!H23,IF($E$8=3,Rentabilität!J23,0)))</f>
        <v>0</v>
      </c>
      <c r="E24" s="591">
        <f>IF(D$23=0,0,(D24/D$23*100))</f>
        <v>0</v>
      </c>
      <c r="F24" s="63"/>
      <c r="G24" s="1314" t="s">
        <v>414</v>
      </c>
      <c r="H24" s="1084"/>
      <c r="I24" s="1030">
        <f>IF(Umsatzplanung!F53&gt;0,Umsatzplanung!E54*100,0)</f>
        <v>0</v>
      </c>
      <c r="J24" s="394">
        <f>D24*I24/100</f>
        <v>0</v>
      </c>
      <c r="K24" s="63"/>
      <c r="L24" s="63"/>
      <c r="M24" s="415"/>
      <c r="N24" s="63"/>
      <c r="O24" s="63"/>
      <c r="P24" s="63"/>
      <c r="Q24" s="63"/>
      <c r="R24" s="63"/>
      <c r="S24" s="63"/>
      <c r="T24" s="63"/>
      <c r="U24" s="63"/>
      <c r="V24" s="63"/>
      <c r="W24" s="63"/>
      <c r="X24" s="63"/>
      <c r="Y24" s="63"/>
      <c r="Z24" s="63"/>
      <c r="AA24" s="63"/>
      <c r="AB24" s="63"/>
      <c r="AC24" s="63"/>
      <c r="AD24" s="63"/>
    </row>
    <row r="25" spans="1:30">
      <c r="A25" s="1311" t="s">
        <v>290</v>
      </c>
      <c r="B25" s="1312"/>
      <c r="C25" s="1312"/>
      <c r="D25" s="592">
        <f>IF(E25="",0,D13*E25/100)</f>
        <v>0</v>
      </c>
      <c r="E25" s="881">
        <f>IF($E$8=1,IF(Rentabilität!$F$22&gt;Umsatzplanung!$D$19,Rentabilität!G24,Umsatzplanung!E18-E24),IF($E$8=2,IF(Rentabilität!$H$22&gt;Umsatzplanung!$F$19,Rentabilität!I24,Umsatzplanung!G18-E24),IF($E$8=3,IF(Rentabilität!$J$22&gt;Umsatzplanung!$H$19,Rentabilität!K24,Umsatzplanung!I18-E24),0)))</f>
        <v>0</v>
      </c>
      <c r="F25" s="63"/>
      <c r="G25" s="1314" t="s">
        <v>415</v>
      </c>
      <c r="H25" s="1084"/>
      <c r="I25" s="1030">
        <f>IF(Umsatzplanung!E49&gt;0,Umsatzplanung!E50*100,0)</f>
        <v>0</v>
      </c>
      <c r="J25" s="394">
        <f t="shared" ref="J25:J34" si="1">D25*I25/100</f>
        <v>0</v>
      </c>
      <c r="K25" s="63"/>
      <c r="L25" s="63"/>
      <c r="M25" s="415"/>
      <c r="N25" s="63"/>
      <c r="O25" s="63"/>
      <c r="P25" s="63"/>
      <c r="Q25" s="63"/>
      <c r="R25" s="63"/>
      <c r="S25" s="63"/>
      <c r="T25" s="63"/>
      <c r="U25" s="63"/>
      <c r="V25" s="63"/>
      <c r="W25" s="63"/>
      <c r="X25" s="63"/>
      <c r="Y25" s="63"/>
      <c r="Z25" s="63"/>
      <c r="AA25" s="63"/>
      <c r="AB25" s="63"/>
      <c r="AC25" s="63"/>
      <c r="AD25" s="63"/>
    </row>
    <row r="26" spans="1:30">
      <c r="A26" s="1311" t="s">
        <v>291</v>
      </c>
      <c r="B26" s="1312"/>
      <c r="C26" s="1312"/>
      <c r="D26" s="592">
        <f>IF(E26="",0,D14*E26/100)</f>
        <v>0</v>
      </c>
      <c r="E26" s="881">
        <f>IF($E$8=1,IF(Rentabilität!$F$22&gt;Umsatzplanung!$D$19,Rentabilität!G25,0),IF($E$8=2,IF(Rentabilität!$H$22&gt;Umsatzplanung!$F$19,Rentabilität!I25,0),IF($E$8=3,IF(Rentabilität!$J$22&gt;Umsatzplanung!$H$19,Rentabilität!K25,0),0)))</f>
        <v>0</v>
      </c>
      <c r="F26" s="63"/>
      <c r="G26" s="1314" t="s">
        <v>416</v>
      </c>
      <c r="H26" s="1084"/>
      <c r="I26" s="1025"/>
      <c r="J26" s="394">
        <f t="shared" si="1"/>
        <v>0</v>
      </c>
      <c r="K26" s="63"/>
      <c r="L26" s="63"/>
      <c r="M26" s="415"/>
      <c r="N26" s="63"/>
      <c r="O26" s="63"/>
      <c r="P26" s="63"/>
      <c r="Q26" s="63"/>
      <c r="R26" s="63"/>
      <c r="S26" s="63"/>
      <c r="T26" s="63"/>
      <c r="U26" s="63"/>
      <c r="V26" s="63"/>
      <c r="W26" s="63"/>
      <c r="X26" s="63"/>
      <c r="Y26" s="63"/>
      <c r="Z26" s="63"/>
      <c r="AA26" s="63"/>
      <c r="AB26" s="63"/>
      <c r="AC26" s="63"/>
      <c r="AD26" s="63"/>
    </row>
    <row r="27" spans="1:30">
      <c r="A27" s="1311" t="s">
        <v>292</v>
      </c>
      <c r="B27" s="1312"/>
      <c r="C27" s="1312"/>
      <c r="D27" s="592">
        <f>IF(E27="",0,D15*E27/100)</f>
        <v>0</v>
      </c>
      <c r="E27" s="881">
        <f>IF($E$8=1,IF(Rentabilität!$F$22&gt;Umsatzplanung!$D$19,Rentabilität!G26,0),IF($E$8=2,IF(Rentabilität!$H$22&gt;Umsatzplanung!$F$19,Rentabilität!I26,0),IF($E$8=3,IF(Rentabilität!$J$22&gt;Umsatzplanung!$H$19,Rentabilität!K26,0),0)))</f>
        <v>0</v>
      </c>
      <c r="F27" s="63"/>
      <c r="G27" s="1314" t="s">
        <v>417</v>
      </c>
      <c r="H27" s="1084"/>
      <c r="I27" s="1025"/>
      <c r="J27" s="394">
        <f t="shared" si="1"/>
        <v>0</v>
      </c>
      <c r="K27" s="63"/>
      <c r="L27" s="63"/>
      <c r="M27" s="415"/>
      <c r="N27" s="63"/>
      <c r="O27" s="63"/>
      <c r="P27" s="63"/>
      <c r="Q27" s="63"/>
      <c r="R27" s="63"/>
      <c r="S27" s="63"/>
      <c r="T27" s="63"/>
      <c r="U27" s="63"/>
      <c r="V27" s="63"/>
      <c r="W27" s="63"/>
      <c r="X27" s="63"/>
      <c r="Y27" s="63"/>
      <c r="Z27" s="63"/>
      <c r="AA27" s="63"/>
      <c r="AB27" s="63"/>
      <c r="AC27" s="63"/>
      <c r="AD27" s="63"/>
    </row>
    <row r="28" spans="1:30" ht="14.25" customHeight="1">
      <c r="A28" s="1311" t="s">
        <v>293</v>
      </c>
      <c r="B28" s="1312"/>
      <c r="C28" s="1313"/>
      <c r="D28" s="592">
        <f>IF(E28="",0,D16*E28/100)</f>
        <v>0</v>
      </c>
      <c r="E28" s="881">
        <f>IF($E$8=1,IF(Rentabilität!$F$22&gt;Umsatzplanung!$D$19,Rentabilität!G27,0),IF($E$8=2,IF(Rentabilität!$H$22&gt;Umsatzplanung!$F$19,Rentabilität!I27,0),IF($E$8=3,IF(Rentabilität!$J$22&gt;Umsatzplanung!$H$19,Rentabilität!K27,0),0)))</f>
        <v>0</v>
      </c>
      <c r="F28" s="63"/>
      <c r="G28" s="1314" t="s">
        <v>418</v>
      </c>
      <c r="H28" s="1084"/>
      <c r="I28" s="1025"/>
      <c r="J28" s="96">
        <f t="shared" si="1"/>
        <v>0</v>
      </c>
      <c r="K28" s="63"/>
      <c r="L28" s="63"/>
      <c r="M28" s="415"/>
      <c r="N28" s="63"/>
      <c r="O28" s="63"/>
      <c r="P28" s="63"/>
      <c r="Q28" s="63"/>
      <c r="R28" s="63"/>
      <c r="S28" s="63"/>
      <c r="T28" s="63"/>
      <c r="U28" s="63"/>
      <c r="V28" s="63"/>
      <c r="W28" s="63"/>
      <c r="X28" s="63"/>
      <c r="Y28" s="112"/>
      <c r="Z28" s="63"/>
      <c r="AA28" s="63"/>
      <c r="AB28" s="63"/>
      <c r="AC28" s="63"/>
      <c r="AD28" s="63"/>
    </row>
    <row r="29" spans="1:30" ht="14.25" hidden="1" customHeight="1" outlineLevel="1">
      <c r="A29" s="1311" t="s">
        <v>455</v>
      </c>
      <c r="B29" s="1312"/>
      <c r="C29" s="1313"/>
      <c r="D29" s="592">
        <f t="shared" ref="D29:D34" si="2">IF(E29="",0,D17*E29/100)</f>
        <v>0</v>
      </c>
      <c r="E29" s="881">
        <f>IF($E$8=1,Rentabilität!G28,IF($E$8=2,Rentabilität!I28,IF($E$8=3,Rentabilität!K28,0)))</f>
        <v>0</v>
      </c>
      <c r="F29" s="63"/>
      <c r="G29" s="1314" t="s">
        <v>522</v>
      </c>
      <c r="H29" s="1084"/>
      <c r="I29" s="972"/>
      <c r="J29" s="394">
        <f t="shared" si="1"/>
        <v>0</v>
      </c>
      <c r="K29" s="63"/>
      <c r="L29" s="63"/>
      <c r="M29" s="415"/>
      <c r="N29" s="63"/>
      <c r="O29" s="63"/>
      <c r="P29" s="63"/>
      <c r="Q29" s="63"/>
      <c r="R29" s="63"/>
      <c r="S29" s="63"/>
      <c r="T29" s="63"/>
      <c r="U29" s="63"/>
      <c r="V29" s="63"/>
      <c r="W29" s="63"/>
      <c r="X29" s="63"/>
      <c r="Y29" s="112"/>
      <c r="Z29" s="63"/>
      <c r="AA29" s="63"/>
      <c r="AB29" s="63"/>
      <c r="AC29" s="63"/>
      <c r="AD29" s="63"/>
    </row>
    <row r="30" spans="1:30" ht="14.25" hidden="1" customHeight="1" outlineLevel="1">
      <c r="A30" s="1311" t="s">
        <v>456</v>
      </c>
      <c r="B30" s="1312"/>
      <c r="C30" s="1313"/>
      <c r="D30" s="592">
        <f t="shared" si="2"/>
        <v>0</v>
      </c>
      <c r="E30" s="881">
        <f>IF($E$8=1,Rentabilität!G29,IF($E$8=2,Rentabilität!I29,IF($E$8=3,Rentabilität!K29,0)))</f>
        <v>0</v>
      </c>
      <c r="F30" s="63"/>
      <c r="G30" s="1314" t="s">
        <v>523</v>
      </c>
      <c r="H30" s="1084"/>
      <c r="I30" s="972"/>
      <c r="J30" s="394">
        <f t="shared" si="1"/>
        <v>0</v>
      </c>
      <c r="K30" s="63"/>
      <c r="L30" s="63"/>
      <c r="M30" s="415"/>
      <c r="N30" s="63"/>
      <c r="O30" s="63"/>
      <c r="P30" s="63"/>
      <c r="Q30" s="63"/>
      <c r="R30" s="63"/>
      <c r="S30" s="63"/>
      <c r="T30" s="63"/>
      <c r="U30" s="63"/>
      <c r="V30" s="63"/>
      <c r="W30" s="63"/>
      <c r="X30" s="63"/>
      <c r="Y30" s="112"/>
      <c r="Z30" s="63"/>
      <c r="AA30" s="63"/>
      <c r="AB30" s="63"/>
      <c r="AC30" s="63"/>
      <c r="AD30" s="63"/>
    </row>
    <row r="31" spans="1:30" ht="14.25" hidden="1" customHeight="1" outlineLevel="1">
      <c r="A31" s="1311" t="s">
        <v>457</v>
      </c>
      <c r="B31" s="1312"/>
      <c r="C31" s="1313"/>
      <c r="D31" s="592">
        <f t="shared" si="2"/>
        <v>0</v>
      </c>
      <c r="E31" s="881">
        <f>IF($E$8=1,Rentabilität!G30,IF($E$8=2,Rentabilität!I30,IF($E$8=3,Rentabilität!K30,0)))</f>
        <v>0</v>
      </c>
      <c r="F31" s="63"/>
      <c r="G31" s="1314" t="s">
        <v>524</v>
      </c>
      <c r="H31" s="1084"/>
      <c r="I31" s="972"/>
      <c r="J31" s="394">
        <f t="shared" si="1"/>
        <v>0</v>
      </c>
      <c r="K31" s="63"/>
      <c r="L31" s="63"/>
      <c r="M31" s="415"/>
      <c r="N31" s="63"/>
      <c r="O31" s="63"/>
      <c r="P31" s="63"/>
      <c r="Q31" s="63"/>
      <c r="R31" s="63"/>
      <c r="S31" s="63"/>
      <c r="T31" s="63"/>
      <c r="U31" s="63"/>
      <c r="V31" s="63"/>
      <c r="W31" s="63"/>
      <c r="X31" s="63"/>
      <c r="Y31" s="112"/>
      <c r="Z31" s="63"/>
      <c r="AA31" s="63"/>
      <c r="AB31" s="63"/>
      <c r="AC31" s="63"/>
      <c r="AD31" s="63"/>
    </row>
    <row r="32" spans="1:30" ht="14.25" hidden="1" customHeight="1" outlineLevel="1">
      <c r="A32" s="1311" t="s">
        <v>458</v>
      </c>
      <c r="B32" s="1312"/>
      <c r="C32" s="1313"/>
      <c r="D32" s="592">
        <f t="shared" si="2"/>
        <v>0</v>
      </c>
      <c r="E32" s="881">
        <f>IF($E$8=1,Rentabilität!G31,IF($E$8=2,Rentabilität!I31,IF($E$8=3,Rentabilität!K31,0)))</f>
        <v>0</v>
      </c>
      <c r="F32" s="63"/>
      <c r="G32" s="1314" t="s">
        <v>525</v>
      </c>
      <c r="H32" s="1084"/>
      <c r="I32" s="972"/>
      <c r="J32" s="394">
        <f t="shared" si="1"/>
        <v>0</v>
      </c>
      <c r="K32" s="63"/>
      <c r="L32" s="63"/>
      <c r="M32" s="415"/>
      <c r="N32" s="63"/>
      <c r="O32" s="63"/>
      <c r="P32" s="63"/>
      <c r="Q32" s="63"/>
      <c r="R32" s="63"/>
      <c r="S32" s="63"/>
      <c r="T32" s="63"/>
      <c r="U32" s="63"/>
      <c r="V32" s="63"/>
      <c r="W32" s="63"/>
      <c r="X32" s="63"/>
      <c r="Y32" s="112"/>
      <c r="Z32" s="63"/>
      <c r="AA32" s="63"/>
      <c r="AB32" s="63"/>
      <c r="AC32" s="63"/>
      <c r="AD32" s="63"/>
    </row>
    <row r="33" spans="1:30" ht="14.25" hidden="1" customHeight="1" outlineLevel="1">
      <c r="A33" s="1311" t="s">
        <v>459</v>
      </c>
      <c r="B33" s="1312"/>
      <c r="C33" s="1312"/>
      <c r="D33" s="592">
        <f t="shared" si="2"/>
        <v>0</v>
      </c>
      <c r="E33" s="881">
        <f>IF($E$8=1,Rentabilität!G32,IF($E$8=2,Rentabilität!I32,IF($E$8=3,Rentabilität!K32,0)))</f>
        <v>0</v>
      </c>
      <c r="F33" s="63"/>
      <c r="G33" s="1314" t="s">
        <v>526</v>
      </c>
      <c r="H33" s="1084"/>
      <c r="I33" s="972"/>
      <c r="J33" s="96">
        <f t="shared" si="1"/>
        <v>0</v>
      </c>
      <c r="K33" s="63"/>
      <c r="L33" s="63"/>
      <c r="M33" s="415"/>
      <c r="N33" s="63"/>
      <c r="O33" s="63"/>
      <c r="P33" s="63"/>
      <c r="Q33" s="63"/>
      <c r="R33" s="63"/>
      <c r="S33" s="63"/>
      <c r="T33" s="63"/>
      <c r="U33" s="63"/>
      <c r="V33" s="63"/>
      <c r="W33" s="63"/>
      <c r="X33" s="63"/>
      <c r="Y33" s="112"/>
      <c r="Z33" s="63"/>
      <c r="AA33" s="63"/>
      <c r="AB33" s="63"/>
      <c r="AC33" s="63"/>
      <c r="AD33" s="63"/>
    </row>
    <row r="34" spans="1:30" ht="14.25" hidden="1" customHeight="1" outlineLevel="1">
      <c r="A34" s="1311" t="s">
        <v>460</v>
      </c>
      <c r="B34" s="1312"/>
      <c r="C34" s="1312"/>
      <c r="D34" s="592">
        <f t="shared" si="2"/>
        <v>0</v>
      </c>
      <c r="E34" s="881">
        <f>IF($E$8=1,Rentabilität!G33,IF($E$8=2,Rentabilität!I33,IF($E$8=3,Rentabilität!K33,0)))</f>
        <v>0</v>
      </c>
      <c r="F34" s="63"/>
      <c r="G34" s="1314" t="s">
        <v>527</v>
      </c>
      <c r="H34" s="1084"/>
      <c r="I34" s="972"/>
      <c r="J34" s="96">
        <f t="shared" si="1"/>
        <v>0</v>
      </c>
      <c r="K34" s="63"/>
      <c r="L34" s="63"/>
      <c r="M34" s="415"/>
      <c r="N34" s="63"/>
      <c r="O34" s="63"/>
      <c r="P34" s="63"/>
      <c r="Q34" s="63"/>
      <c r="R34" s="63"/>
      <c r="S34" s="63"/>
      <c r="T34" s="63"/>
      <c r="U34" s="63"/>
      <c r="V34" s="63"/>
      <c r="W34" s="63"/>
      <c r="X34" s="63"/>
      <c r="Y34" s="112"/>
      <c r="Z34" s="63"/>
      <c r="AA34" s="63"/>
      <c r="AB34" s="63"/>
      <c r="AC34" s="63"/>
      <c r="AD34" s="63"/>
    </row>
    <row r="35" spans="1:30" collapsed="1">
      <c r="A35" s="593" t="s">
        <v>412</v>
      </c>
      <c r="B35" s="97"/>
      <c r="C35" s="594"/>
      <c r="D35" s="595">
        <f>SUM(D24:D34)</f>
        <v>0</v>
      </c>
      <c r="E35" s="596">
        <f>IF(D$23=0,0,(D35/D$23*100))</f>
        <v>0</v>
      </c>
      <c r="F35" s="63"/>
      <c r="G35" s="589" t="s">
        <v>419</v>
      </c>
      <c r="H35" s="424"/>
      <c r="I35" s="605"/>
      <c r="J35" s="362">
        <f>SUM(J24:J34)</f>
        <v>0</v>
      </c>
      <c r="K35" s="63"/>
      <c r="L35" s="63"/>
      <c r="M35" s="415"/>
      <c r="N35" s="63"/>
      <c r="O35" s="63"/>
      <c r="P35" s="63"/>
      <c r="Q35" s="63"/>
      <c r="R35" s="63"/>
      <c r="S35" s="63"/>
      <c r="T35" s="63"/>
      <c r="U35" s="63"/>
      <c r="V35" s="63"/>
      <c r="W35" s="63"/>
      <c r="X35" s="63"/>
      <c r="Y35" s="63"/>
      <c r="Z35" s="63"/>
      <c r="AA35" s="63"/>
      <c r="AB35" s="63"/>
      <c r="AC35" s="63"/>
      <c r="AD35" s="63"/>
    </row>
    <row r="36" spans="1:30">
      <c r="A36" s="140" t="s">
        <v>42</v>
      </c>
      <c r="B36" s="67"/>
      <c r="C36" s="436"/>
      <c r="D36" s="597">
        <f>(D23-D35)</f>
        <v>0</v>
      </c>
      <c r="E36" s="591">
        <f t="shared" ref="E36:E42" si="3">IF(D$23=0,0,(D36/D$23*100))</f>
        <v>0</v>
      </c>
      <c r="F36" s="63"/>
      <c r="G36" s="63"/>
      <c r="H36" s="63"/>
      <c r="I36" s="964"/>
      <c r="J36" s="63"/>
      <c r="K36" s="63"/>
      <c r="L36" s="63"/>
      <c r="M36" s="415"/>
      <c r="N36" s="63"/>
      <c r="O36" s="63"/>
      <c r="P36" s="63"/>
      <c r="Q36" s="63"/>
      <c r="R36" s="63"/>
      <c r="S36" s="63"/>
      <c r="T36" s="63"/>
      <c r="U36" s="63"/>
      <c r="V36" s="63"/>
      <c r="W36" s="63"/>
      <c r="X36" s="63"/>
      <c r="Y36" s="63"/>
      <c r="Z36" s="63"/>
      <c r="AA36" s="63"/>
      <c r="AB36" s="63"/>
      <c r="AC36" s="63"/>
      <c r="AD36" s="63"/>
    </row>
    <row r="37" spans="1:30" ht="17.399999999999999">
      <c r="A37" s="93" t="s">
        <v>43</v>
      </c>
      <c r="B37" s="97"/>
      <c r="C37" s="435"/>
      <c r="D37" s="808">
        <f>IF($E$8=1,Rentabilität!F36,IF($E$8=2,Rentabilität!H36,IF($E$8=3,Rentabilität!J36,0)))</f>
        <v>0</v>
      </c>
      <c r="E37" s="584">
        <f t="shared" si="3"/>
        <v>0</v>
      </c>
      <c r="F37" s="63"/>
      <c r="G37" s="63"/>
      <c r="H37" s="63"/>
      <c r="I37" s="964"/>
      <c r="J37" s="63"/>
      <c r="K37" s="63"/>
      <c r="L37" s="63"/>
      <c r="M37" s="415"/>
      <c r="N37" s="63"/>
      <c r="O37" s="63"/>
      <c r="P37" s="63"/>
      <c r="Q37" s="63"/>
      <c r="R37" s="63"/>
      <c r="S37" s="63"/>
      <c r="T37" s="63"/>
      <c r="U37" s="63"/>
      <c r="V37" s="63"/>
      <c r="W37" s="63"/>
      <c r="X37" s="63"/>
      <c r="Y37" s="112"/>
      <c r="Z37" s="63"/>
      <c r="AA37" s="63"/>
      <c r="AB37" s="63"/>
      <c r="AC37" s="63"/>
      <c r="AD37" s="63"/>
    </row>
    <row r="38" spans="1:30">
      <c r="A38" s="140" t="s">
        <v>44</v>
      </c>
      <c r="B38" s="67"/>
      <c r="C38" s="436"/>
      <c r="D38" s="471">
        <f>(D36-D37)</f>
        <v>0</v>
      </c>
      <c r="E38" s="598">
        <f t="shared" si="3"/>
        <v>0</v>
      </c>
      <c r="F38" s="63"/>
      <c r="K38" s="63"/>
      <c r="L38" s="63"/>
      <c r="M38" s="415"/>
      <c r="N38" s="63"/>
      <c r="O38" s="63"/>
      <c r="P38" s="63"/>
      <c r="Q38" s="63"/>
      <c r="R38" s="63"/>
      <c r="S38" s="63"/>
      <c r="T38" s="63"/>
      <c r="U38" s="63"/>
      <c r="V38" s="63"/>
      <c r="W38" s="63"/>
      <c r="X38" s="63"/>
      <c r="Y38" s="63"/>
      <c r="Z38" s="63"/>
      <c r="AA38" s="63"/>
      <c r="AB38" s="63"/>
      <c r="AC38" s="63"/>
      <c r="AD38" s="63"/>
    </row>
    <row r="39" spans="1:30">
      <c r="A39" s="93" t="s">
        <v>286</v>
      </c>
      <c r="B39" s="97"/>
      <c r="C39" s="435"/>
      <c r="D39" s="808">
        <f>IF($E$8=1,'übrige Kosten'!C30,IF($E$8=2,'übrige Kosten'!E30,IF($E$8=3,'übrige Kosten'!G30,0)))</f>
        <v>0</v>
      </c>
      <c r="E39" s="584">
        <f t="shared" si="3"/>
        <v>0</v>
      </c>
      <c r="F39" s="63"/>
      <c r="K39" s="63"/>
      <c r="L39" s="63"/>
      <c r="M39" s="415"/>
      <c r="N39" s="63"/>
      <c r="O39" s="63"/>
      <c r="P39" s="63"/>
      <c r="Q39" s="63"/>
      <c r="R39" s="63"/>
      <c r="S39" s="63"/>
      <c r="T39" s="63"/>
      <c r="U39" s="63"/>
      <c r="V39" s="63"/>
      <c r="W39" s="63"/>
      <c r="X39" s="63"/>
      <c r="Y39" s="63"/>
      <c r="Z39" s="63"/>
      <c r="AA39" s="63"/>
      <c r="AB39" s="63"/>
      <c r="AC39" s="63"/>
      <c r="AD39" s="63"/>
    </row>
    <row r="40" spans="1:30">
      <c r="A40" s="140" t="s">
        <v>103</v>
      </c>
      <c r="B40" s="67"/>
      <c r="C40" s="135"/>
      <c r="D40" s="471">
        <f>D38-D39</f>
        <v>0</v>
      </c>
      <c r="E40" s="599">
        <f t="shared" si="3"/>
        <v>0</v>
      </c>
      <c r="F40" s="63"/>
      <c r="K40" s="63"/>
      <c r="L40" s="63"/>
      <c r="M40" s="415"/>
      <c r="N40" s="63"/>
      <c r="O40" s="63"/>
      <c r="P40" s="63"/>
      <c r="Q40" s="63"/>
      <c r="R40" s="63"/>
      <c r="S40" s="63"/>
      <c r="T40" s="63"/>
      <c r="U40" s="63"/>
      <c r="V40" s="63"/>
      <c r="W40" s="63"/>
      <c r="X40" s="63"/>
      <c r="Y40" s="63"/>
      <c r="Z40" s="63"/>
      <c r="AA40" s="63"/>
      <c r="AB40" s="63"/>
      <c r="AC40" s="63"/>
      <c r="AD40" s="63"/>
    </row>
    <row r="41" spans="1:30">
      <c r="A41" s="95" t="s">
        <v>355</v>
      </c>
      <c r="B41" s="68"/>
      <c r="C41" s="132"/>
      <c r="D41" s="808">
        <f>IF(E8=1,'übrige Kosten'!C34+'übrige Kosten'!C35,IF(E8=2,'übrige Kosten'!E34+'übrige Kosten'!E35,IF(E8=3,'übrige Kosten'!G34+'übrige Kosten'!G35,0)))</f>
        <v>0</v>
      </c>
      <c r="E41" s="584">
        <f t="shared" si="3"/>
        <v>0</v>
      </c>
      <c r="F41" s="63"/>
      <c r="K41" s="63"/>
      <c r="L41" s="63"/>
      <c r="M41" s="964"/>
      <c r="N41" s="63"/>
      <c r="O41" s="63"/>
      <c r="P41" s="63"/>
      <c r="Q41" s="63"/>
      <c r="R41" s="63"/>
      <c r="S41" s="63"/>
      <c r="T41" s="63"/>
      <c r="U41" s="63"/>
      <c r="V41" s="63"/>
      <c r="W41" s="63"/>
      <c r="X41" s="63"/>
      <c r="Y41" s="63"/>
      <c r="Z41" s="63"/>
      <c r="AA41" s="63"/>
      <c r="AB41" s="63"/>
      <c r="AC41" s="63"/>
      <c r="AD41" s="63"/>
    </row>
    <row r="42" spans="1:30" ht="17.399999999999999">
      <c r="A42" s="391" t="s">
        <v>440</v>
      </c>
      <c r="B42" s="392"/>
      <c r="C42" s="437"/>
      <c r="D42" s="438">
        <f>(D40-D41)</f>
        <v>0</v>
      </c>
      <c r="E42" s="591">
        <f t="shared" si="3"/>
        <v>0</v>
      </c>
      <c r="F42" s="63"/>
      <c r="K42" s="63"/>
      <c r="L42" s="63"/>
      <c r="M42" s="964"/>
      <c r="N42" s="63"/>
      <c r="O42" s="63"/>
      <c r="P42" s="63"/>
      <c r="Q42" s="63"/>
      <c r="R42" s="63"/>
      <c r="S42" s="63"/>
      <c r="T42" s="63"/>
      <c r="U42" s="63"/>
      <c r="V42" s="63"/>
      <c r="W42" s="63"/>
      <c r="X42" s="63"/>
      <c r="Y42" s="112"/>
      <c r="Z42" s="63"/>
      <c r="AA42" s="63"/>
      <c r="AB42" s="63"/>
      <c r="AC42" s="63"/>
      <c r="AD42" s="63"/>
    </row>
    <row r="43" spans="1:30">
      <c r="A43" s="840" t="str">
        <f>IF(Unternehmerlohn!F43&gt;=Unternehmerlohn!F37,"  - Geplanter Unternehmerlohn","  - Notwendiger Unternehmerlohn")</f>
        <v xml:space="preserve">  - Geplanter Unternehmerlohn</v>
      </c>
      <c r="B43" s="415"/>
      <c r="C43" s="415"/>
      <c r="D43" s="808">
        <f>IF($E$8=1,Rentabilität!F45,IF($E$8=2,Rentabilität!H45,IF($E$8=3,Rentabilität!J45,0)))</f>
        <v>0</v>
      </c>
      <c r="E43" s="584">
        <f>IF(D$23=0,0,(D43/D$23*100))</f>
        <v>0</v>
      </c>
      <c r="F43" s="63"/>
      <c r="K43" s="63"/>
      <c r="L43" s="63"/>
      <c r="M43" s="964"/>
      <c r="N43" s="63"/>
      <c r="O43" s="63"/>
      <c r="P43" s="63"/>
      <c r="Q43" s="63"/>
      <c r="R43" s="63"/>
      <c r="S43" s="63"/>
      <c r="T43" s="63"/>
      <c r="U43" s="63"/>
      <c r="V43" s="63"/>
      <c r="W43" s="63"/>
      <c r="X43" s="63"/>
      <c r="Y43" s="63"/>
      <c r="Z43" s="63"/>
      <c r="AA43" s="63"/>
      <c r="AB43" s="63"/>
      <c r="AC43" s="63"/>
      <c r="AD43" s="63"/>
    </row>
    <row r="44" spans="1:30">
      <c r="A44" s="841" t="s">
        <v>461</v>
      </c>
      <c r="B44" s="415"/>
      <c r="C44" s="415"/>
      <c r="D44" s="824"/>
      <c r="E44" s="585">
        <f>IF(D$23=0,0,(D44/D$23*100))</f>
        <v>0</v>
      </c>
      <c r="F44" s="63"/>
      <c r="G44" s="580" t="str">
        <f>IF(D57&lt;0,"Überprüfung der Gesamtsituation erforderlich","")</f>
        <v/>
      </c>
      <c r="L44" s="63"/>
      <c r="M44" s="964"/>
      <c r="N44" s="63"/>
      <c r="O44" s="63"/>
      <c r="P44" s="63"/>
      <c r="Q44" s="63"/>
      <c r="R44" s="63"/>
      <c r="S44" s="63"/>
      <c r="T44" s="63"/>
      <c r="U44" s="63"/>
      <c r="V44" s="63"/>
      <c r="W44" s="63"/>
      <c r="X44" s="63"/>
      <c r="Y44" s="63"/>
      <c r="Z44" s="63"/>
      <c r="AA44" s="63"/>
      <c r="AB44" s="63"/>
      <c r="AC44" s="63"/>
      <c r="AD44" s="63"/>
    </row>
    <row r="45" spans="1:30" ht="17.399999999999999">
      <c r="A45" s="603" t="s">
        <v>420</v>
      </c>
      <c r="B45" s="604"/>
      <c r="C45" s="605"/>
      <c r="D45" s="604">
        <f>D43+D44</f>
        <v>0</v>
      </c>
      <c r="E45" s="585">
        <f>IF(D$23=0,0,(D45/D$23*100))</f>
        <v>0</v>
      </c>
      <c r="F45" s="63"/>
      <c r="K45" s="63"/>
      <c r="L45" s="63"/>
      <c r="M45" s="964"/>
      <c r="N45" s="63"/>
      <c r="O45" s="63"/>
      <c r="P45" s="63"/>
      <c r="Q45" s="63"/>
      <c r="R45" s="63"/>
      <c r="S45" s="63"/>
      <c r="T45" s="63"/>
      <c r="U45" s="63"/>
      <c r="V45" s="63"/>
      <c r="W45" s="63"/>
      <c r="X45" s="63"/>
      <c r="Y45" s="112"/>
      <c r="Z45" s="63"/>
      <c r="AA45" s="63"/>
      <c r="AB45" s="63"/>
      <c r="AC45" s="63"/>
      <c r="AD45" s="63"/>
    </row>
    <row r="46" spans="1:30" ht="17.399999999999999">
      <c r="A46" s="92"/>
      <c r="B46" s="63"/>
      <c r="C46" s="63"/>
      <c r="D46" s="63"/>
      <c r="E46" s="70"/>
      <c r="F46" s="63"/>
      <c r="K46" s="63"/>
      <c r="L46" s="63"/>
      <c r="M46" s="964"/>
      <c r="N46" s="63"/>
      <c r="O46" s="63"/>
      <c r="P46" s="63"/>
      <c r="Q46" s="63"/>
      <c r="R46" s="63"/>
      <c r="S46" s="63"/>
      <c r="T46" s="63"/>
      <c r="U46" s="63"/>
      <c r="V46" s="63"/>
      <c r="W46" s="63"/>
      <c r="X46" s="63"/>
      <c r="Y46" s="112"/>
      <c r="Z46" s="63"/>
      <c r="AA46" s="63"/>
      <c r="AB46" s="63"/>
      <c r="AC46" s="63"/>
      <c r="AD46" s="63"/>
    </row>
    <row r="47" spans="1:30">
      <c r="A47" s="145" t="s">
        <v>294</v>
      </c>
      <c r="B47" s="154"/>
      <c r="C47" s="432"/>
      <c r="D47" s="384">
        <f>D42-D43-D44</f>
        <v>0</v>
      </c>
      <c r="E47" s="585">
        <f>IF(D$23=0,0,(D47/D$23*100))</f>
        <v>0</v>
      </c>
      <c r="F47" s="63"/>
      <c r="K47" s="63"/>
      <c r="L47" s="63"/>
      <c r="M47" s="964"/>
      <c r="N47" s="63"/>
      <c r="O47" s="63"/>
      <c r="P47" s="63"/>
      <c r="Q47" s="63"/>
      <c r="R47" s="63"/>
      <c r="S47" s="63"/>
      <c r="T47" s="63"/>
      <c r="U47" s="63"/>
      <c r="V47" s="63"/>
      <c r="W47" s="63"/>
      <c r="X47" s="63"/>
      <c r="Y47" s="63"/>
      <c r="Z47" s="63"/>
      <c r="AA47" s="63"/>
      <c r="AB47" s="63"/>
      <c r="AC47" s="63"/>
      <c r="AD47" s="63"/>
    </row>
    <row r="48" spans="1:30">
      <c r="A48" s="63"/>
      <c r="B48" s="63"/>
      <c r="C48" s="63"/>
      <c r="D48" s="63"/>
      <c r="E48" s="63"/>
      <c r="F48" s="63"/>
      <c r="G48" s="63"/>
      <c r="H48" s="63"/>
      <c r="I48" s="964"/>
      <c r="J48" s="63"/>
      <c r="K48" s="63"/>
      <c r="L48" s="63"/>
      <c r="M48" s="415"/>
      <c r="N48" s="63"/>
      <c r="O48" s="63"/>
      <c r="P48" s="63"/>
      <c r="Q48" s="63"/>
      <c r="R48" s="63"/>
      <c r="S48" s="63"/>
      <c r="T48" s="63"/>
      <c r="U48" s="63"/>
      <c r="V48" s="63"/>
      <c r="W48" s="63"/>
      <c r="X48" s="63"/>
      <c r="Y48" s="63"/>
      <c r="Z48" s="63"/>
      <c r="AA48" s="63"/>
      <c r="AB48" s="63"/>
      <c r="AC48" s="63"/>
      <c r="AD48" s="63"/>
    </row>
    <row r="49" spans="1:30" ht="17.399999999999999">
      <c r="A49" s="63"/>
      <c r="B49" s="63"/>
      <c r="C49" s="63"/>
      <c r="D49" s="63"/>
      <c r="E49" s="63"/>
      <c r="F49" s="63"/>
      <c r="G49" s="63"/>
      <c r="H49" s="63"/>
      <c r="I49" s="415"/>
      <c r="J49" s="63"/>
      <c r="K49" s="63"/>
      <c r="L49" s="63"/>
      <c r="M49" s="415"/>
      <c r="N49" s="63"/>
      <c r="O49" s="63"/>
      <c r="P49" s="63"/>
      <c r="Q49" s="63"/>
      <c r="R49" s="63"/>
      <c r="S49" s="63"/>
      <c r="T49" s="63"/>
      <c r="U49" s="63"/>
      <c r="V49" s="63"/>
      <c r="W49" s="63"/>
      <c r="X49" s="63"/>
      <c r="Y49" s="112"/>
      <c r="Z49" s="63"/>
      <c r="AA49" s="63"/>
      <c r="AB49" s="63"/>
      <c r="AC49" s="63"/>
      <c r="AD49" s="63"/>
    </row>
    <row r="50" spans="1:30" ht="17.399999999999999">
      <c r="A50" s="116" t="s">
        <v>422</v>
      </c>
      <c r="B50" s="196"/>
      <c r="C50" s="63"/>
      <c r="D50" s="63"/>
      <c r="E50" s="63"/>
      <c r="F50" s="63"/>
      <c r="G50" s="63"/>
      <c r="H50" s="63"/>
      <c r="I50" s="415"/>
      <c r="J50" s="63"/>
      <c r="K50" s="63"/>
      <c r="L50" s="63"/>
      <c r="M50" s="415"/>
      <c r="N50" s="63"/>
      <c r="O50" s="63"/>
      <c r="P50" s="63"/>
      <c r="Q50" s="63"/>
      <c r="R50" s="63"/>
      <c r="S50" s="63"/>
      <c r="T50" s="63"/>
      <c r="U50" s="63"/>
      <c r="V50" s="63"/>
      <c r="W50" s="63"/>
      <c r="X50" s="63"/>
      <c r="Y50" s="112"/>
      <c r="Z50" s="63"/>
      <c r="AA50" s="63"/>
      <c r="AB50" s="63"/>
      <c r="AC50" s="63"/>
      <c r="AD50" s="63"/>
    </row>
    <row r="51" spans="1:30" ht="10.5" customHeight="1">
      <c r="A51" s="116"/>
      <c r="B51" s="196"/>
      <c r="C51" s="63"/>
      <c r="D51" s="63"/>
      <c r="E51" s="63"/>
      <c r="F51" s="63"/>
      <c r="G51" s="63"/>
      <c r="H51" s="63"/>
      <c r="I51" s="415"/>
      <c r="J51" s="63"/>
      <c r="K51" s="63"/>
      <c r="L51" s="63"/>
      <c r="M51" s="415"/>
      <c r="N51" s="63"/>
      <c r="O51" s="63"/>
      <c r="P51" s="63"/>
      <c r="Q51" s="63"/>
      <c r="R51" s="63"/>
      <c r="S51" s="63"/>
      <c r="T51" s="63"/>
      <c r="U51" s="63"/>
      <c r="V51" s="63"/>
      <c r="W51" s="63"/>
      <c r="X51" s="63"/>
      <c r="Y51" s="112"/>
      <c r="Z51" s="63"/>
      <c r="AA51" s="63"/>
      <c r="AB51" s="63"/>
      <c r="AC51" s="63"/>
      <c r="AD51" s="63"/>
    </row>
    <row r="52" spans="1:30" ht="17.399999999999999">
      <c r="A52" s="63"/>
      <c r="B52" s="63"/>
      <c r="C52" s="63"/>
      <c r="D52" s="129" t="s">
        <v>29</v>
      </c>
      <c r="E52" s="63"/>
      <c r="F52" s="63"/>
      <c r="G52" s="63"/>
      <c r="H52" s="63"/>
      <c r="I52" s="415"/>
      <c r="J52" s="63"/>
      <c r="K52" s="63"/>
      <c r="L52" s="63"/>
      <c r="M52" s="415"/>
      <c r="N52" s="63"/>
      <c r="O52" s="63"/>
      <c r="P52" s="63"/>
      <c r="Q52" s="63"/>
      <c r="R52" s="63"/>
      <c r="S52" s="63"/>
      <c r="T52" s="63"/>
      <c r="U52" s="63"/>
      <c r="V52" s="63"/>
      <c r="W52" s="63"/>
      <c r="X52" s="63"/>
      <c r="Y52" s="112"/>
      <c r="Z52" s="63"/>
      <c r="AA52" s="63"/>
      <c r="AB52" s="63"/>
      <c r="AC52" s="63"/>
      <c r="AD52" s="63"/>
    </row>
    <row r="53" spans="1:30" ht="17.399999999999999">
      <c r="A53" s="372" t="s">
        <v>383</v>
      </c>
      <c r="B53" s="364"/>
      <c r="C53" s="365"/>
      <c r="D53" s="600">
        <f>$D$37</f>
        <v>0</v>
      </c>
      <c r="E53" s="63"/>
      <c r="F53" s="63"/>
      <c r="G53" s="63"/>
      <c r="H53" s="63"/>
      <c r="I53" s="415"/>
      <c r="J53" s="63"/>
      <c r="K53" s="63"/>
      <c r="L53" s="63"/>
      <c r="M53" s="415"/>
      <c r="N53" s="63"/>
      <c r="O53" s="63"/>
      <c r="P53" s="63"/>
      <c r="Q53" s="63"/>
      <c r="R53" s="63"/>
      <c r="S53" s="63"/>
      <c r="T53" s="63"/>
      <c r="U53" s="63"/>
      <c r="V53" s="63"/>
      <c r="W53" s="63"/>
      <c r="X53" s="63"/>
      <c r="Y53" s="112"/>
      <c r="Z53" s="63"/>
      <c r="AA53" s="63"/>
      <c r="AB53" s="63"/>
      <c r="AC53" s="63"/>
      <c r="AD53" s="63"/>
    </row>
    <row r="54" spans="1:30" ht="17.399999999999999">
      <c r="A54" s="92" t="s">
        <v>384</v>
      </c>
      <c r="B54" s="63"/>
      <c r="C54" s="70"/>
      <c r="D54" s="601">
        <f>$D$39</f>
        <v>0</v>
      </c>
      <c r="E54" s="63"/>
      <c r="F54" s="63"/>
      <c r="G54" s="63"/>
      <c r="H54" s="63"/>
      <c r="I54" s="415"/>
      <c r="J54" s="63"/>
      <c r="K54" s="63"/>
      <c r="L54" s="63"/>
      <c r="M54" s="415"/>
      <c r="N54" s="63"/>
      <c r="O54" s="63"/>
      <c r="P54" s="63"/>
      <c r="Q54" s="63"/>
      <c r="R54" s="63"/>
      <c r="S54" s="63"/>
      <c r="T54" s="63"/>
      <c r="U54" s="63"/>
      <c r="V54" s="63"/>
      <c r="W54" s="63"/>
      <c r="X54" s="63"/>
      <c r="Y54" s="112"/>
      <c r="Z54" s="63"/>
      <c r="AA54" s="63"/>
      <c r="AB54" s="63"/>
      <c r="AC54" s="63"/>
      <c r="AD54" s="63"/>
    </row>
    <row r="55" spans="1:30" ht="17.399999999999999">
      <c r="A55" s="92" t="s">
        <v>385</v>
      </c>
      <c r="B55" s="63"/>
      <c r="C55" s="70"/>
      <c r="D55" s="601">
        <f>$D$41</f>
        <v>0</v>
      </c>
      <c r="E55" s="63"/>
      <c r="F55" s="63"/>
      <c r="G55" s="63"/>
      <c r="H55" s="63"/>
      <c r="I55" s="415"/>
      <c r="J55" s="63"/>
      <c r="K55" s="63"/>
      <c r="L55" s="63"/>
      <c r="M55" s="415"/>
      <c r="N55" s="63"/>
      <c r="O55" s="63"/>
      <c r="P55" s="63"/>
      <c r="Q55" s="63"/>
      <c r="R55" s="63"/>
      <c r="S55" s="63"/>
      <c r="T55" s="63"/>
      <c r="U55" s="63"/>
      <c r="V55" s="63"/>
      <c r="W55" s="63"/>
      <c r="X55" s="63"/>
      <c r="Y55" s="112"/>
      <c r="Z55" s="63"/>
      <c r="AA55" s="63"/>
      <c r="AB55" s="63"/>
      <c r="AC55" s="63"/>
      <c r="AD55" s="63"/>
    </row>
    <row r="56" spans="1:30" ht="17.399999999999999">
      <c r="A56" s="92" t="s">
        <v>386</v>
      </c>
      <c r="B56" s="63"/>
      <c r="C56" s="70"/>
      <c r="D56" s="601">
        <f>$D$43+$D$44</f>
        <v>0</v>
      </c>
      <c r="E56" s="63"/>
      <c r="F56" s="63"/>
      <c r="G56" s="63"/>
      <c r="H56" s="63"/>
      <c r="I56" s="415"/>
      <c r="J56" s="63"/>
      <c r="K56" s="63"/>
      <c r="L56" s="63"/>
      <c r="M56" s="415"/>
      <c r="N56" s="63"/>
      <c r="O56" s="63"/>
      <c r="P56" s="63"/>
      <c r="Q56" s="63"/>
      <c r="R56" s="63"/>
      <c r="S56" s="63"/>
      <c r="T56" s="63"/>
      <c r="U56" s="63"/>
      <c r="V56" s="63"/>
      <c r="W56" s="63"/>
      <c r="X56" s="63"/>
      <c r="Y56" s="112"/>
      <c r="Z56" s="63"/>
      <c r="AA56" s="63"/>
      <c r="AB56" s="63"/>
      <c r="AC56" s="63"/>
      <c r="AD56" s="63"/>
    </row>
    <row r="57" spans="1:30" ht="17.399999999999999">
      <c r="A57" s="354" t="s">
        <v>421</v>
      </c>
      <c r="B57" s="69"/>
      <c r="C57" s="221"/>
      <c r="D57" s="602">
        <f>D47</f>
        <v>0</v>
      </c>
      <c r="E57" s="63"/>
      <c r="F57" s="63"/>
      <c r="G57" s="63"/>
      <c r="H57" s="63"/>
      <c r="I57" s="415"/>
      <c r="J57" s="63"/>
      <c r="K57" s="63"/>
      <c r="L57" s="63"/>
      <c r="M57" s="415"/>
      <c r="N57" s="63"/>
      <c r="O57" s="63"/>
      <c r="P57" s="63"/>
      <c r="Q57" s="63"/>
      <c r="R57" s="63"/>
      <c r="S57" s="63"/>
      <c r="T57" s="63"/>
      <c r="U57" s="63"/>
      <c r="V57" s="63"/>
      <c r="W57" s="63"/>
      <c r="X57" s="63"/>
      <c r="Y57" s="112"/>
      <c r="Z57" s="63"/>
      <c r="AA57" s="63"/>
      <c r="AB57" s="63"/>
      <c r="AC57" s="63"/>
      <c r="AD57" s="63"/>
    </row>
    <row r="58" spans="1:30" ht="17.399999999999999">
      <c r="A58" s="589" t="s">
        <v>387</v>
      </c>
      <c r="B58" s="424"/>
      <c r="C58" s="424"/>
      <c r="D58" s="368">
        <f>SUM(D53:D57)</f>
        <v>0</v>
      </c>
      <c r="E58" s="63"/>
      <c r="F58" s="63"/>
      <c r="G58" s="63"/>
      <c r="H58" s="63"/>
      <c r="I58" s="415"/>
      <c r="J58" s="63"/>
      <c r="K58" s="63"/>
      <c r="L58" s="63"/>
      <c r="M58" s="415"/>
      <c r="N58" s="63"/>
      <c r="O58" s="63"/>
      <c r="P58" s="63"/>
      <c r="Q58" s="63"/>
      <c r="R58" s="63"/>
      <c r="S58" s="63"/>
      <c r="T58" s="63"/>
      <c r="U58" s="63"/>
      <c r="V58" s="63"/>
      <c r="W58" s="63"/>
      <c r="X58" s="63"/>
      <c r="Y58" s="112"/>
      <c r="Z58" s="63"/>
      <c r="AA58" s="63"/>
      <c r="AB58" s="63"/>
      <c r="AC58" s="63"/>
      <c r="AD58" s="63"/>
    </row>
    <row r="59" spans="1:30" ht="17.399999999999999">
      <c r="A59" s="354" t="s">
        <v>517</v>
      </c>
      <c r="B59" s="69"/>
      <c r="C59" s="221"/>
      <c r="D59" s="602">
        <f>J35</f>
        <v>0</v>
      </c>
      <c r="E59" s="63"/>
      <c r="F59" s="63"/>
      <c r="G59" s="63"/>
      <c r="H59" s="63"/>
      <c r="I59" s="415"/>
      <c r="J59" s="63"/>
      <c r="K59" s="63"/>
      <c r="L59" s="63"/>
      <c r="M59" s="415"/>
      <c r="N59" s="63"/>
      <c r="O59" s="63"/>
      <c r="P59" s="63"/>
      <c r="Q59" s="63"/>
      <c r="R59" s="63"/>
      <c r="S59" s="63"/>
      <c r="T59" s="63"/>
      <c r="U59" s="63"/>
      <c r="V59" s="63"/>
      <c r="W59" s="63"/>
      <c r="X59" s="63"/>
      <c r="Y59" s="112"/>
      <c r="Z59" s="63"/>
      <c r="AA59" s="63"/>
      <c r="AB59" s="63"/>
      <c r="AC59" s="63"/>
      <c r="AD59" s="63"/>
    </row>
    <row r="60" spans="1:30" ht="17.399999999999999">
      <c r="A60" s="354" t="s">
        <v>572</v>
      </c>
      <c r="B60" s="69"/>
      <c r="C60" s="69"/>
      <c r="D60" s="602">
        <f>M81*M80</f>
        <v>0</v>
      </c>
      <c r="E60" s="63"/>
      <c r="F60" s="63"/>
      <c r="G60" s="63"/>
      <c r="H60" s="63"/>
      <c r="I60" s="415"/>
      <c r="J60" s="63"/>
      <c r="K60" s="63"/>
      <c r="L60" s="63"/>
      <c r="M60" s="415"/>
      <c r="N60" s="63"/>
      <c r="O60" s="63"/>
      <c r="P60" s="63"/>
      <c r="Q60" s="63"/>
      <c r="R60" s="63"/>
      <c r="S60" s="63"/>
      <c r="T60" s="63"/>
      <c r="U60" s="63"/>
      <c r="V60" s="63"/>
      <c r="W60" s="63"/>
      <c r="X60" s="63"/>
      <c r="Y60" s="112"/>
      <c r="Z60" s="63"/>
      <c r="AA60" s="63"/>
      <c r="AB60" s="63"/>
      <c r="AC60" s="63"/>
      <c r="AD60" s="63"/>
    </row>
    <row r="61" spans="1:30" ht="17.399999999999999">
      <c r="A61" s="606" t="s">
        <v>392</v>
      </c>
      <c r="B61" s="607"/>
      <c r="C61" s="607"/>
      <c r="D61" s="608">
        <f>D58-D59-D60</f>
        <v>0</v>
      </c>
      <c r="E61" s="63"/>
      <c r="F61" s="63"/>
      <c r="G61" s="63"/>
      <c r="H61" s="63"/>
      <c r="I61" s="415"/>
      <c r="J61" s="63"/>
      <c r="K61" s="63"/>
      <c r="L61" s="63"/>
      <c r="M61" s="415"/>
      <c r="N61" s="63"/>
      <c r="O61" s="63"/>
      <c r="P61" s="63"/>
      <c r="Q61" s="63"/>
      <c r="R61" s="63"/>
      <c r="S61" s="63"/>
      <c r="T61" s="63"/>
      <c r="U61" s="63"/>
      <c r="V61" s="63"/>
      <c r="W61" s="63"/>
      <c r="X61" s="63"/>
      <c r="Y61" s="112"/>
      <c r="Z61" s="63"/>
      <c r="AA61" s="63"/>
      <c r="AB61" s="63"/>
      <c r="AC61" s="63"/>
      <c r="AD61" s="63"/>
    </row>
    <row r="62" spans="1:30" ht="17.399999999999999">
      <c r="A62" s="544"/>
      <c r="B62" s="544"/>
      <c r="C62" s="544"/>
      <c r="D62" s="839"/>
      <c r="E62" s="63"/>
      <c r="F62" s="63"/>
      <c r="G62" s="63"/>
      <c r="H62" s="63"/>
      <c r="I62" s="415"/>
      <c r="J62" s="63"/>
      <c r="K62" s="63"/>
      <c r="L62" s="63"/>
      <c r="M62" s="415"/>
      <c r="N62" s="63"/>
      <c r="O62" s="63"/>
      <c r="P62" s="63"/>
      <c r="Q62" s="63"/>
      <c r="R62" s="63"/>
      <c r="S62" s="63"/>
      <c r="T62" s="63"/>
      <c r="U62" s="63"/>
      <c r="V62" s="63"/>
      <c r="W62" s="63"/>
      <c r="X62" s="63"/>
      <c r="Y62" s="112"/>
      <c r="Z62" s="63"/>
      <c r="AA62" s="63"/>
      <c r="AB62" s="63"/>
      <c r="AC62" s="63"/>
      <c r="AD62" s="63"/>
    </row>
    <row r="63" spans="1:30" ht="17.399999999999999">
      <c r="A63" s="63"/>
      <c r="B63" s="63"/>
      <c r="C63" s="63"/>
      <c r="D63" s="63"/>
      <c r="E63" s="63"/>
      <c r="F63" s="63"/>
      <c r="G63" s="63"/>
      <c r="H63" s="63"/>
      <c r="I63" s="415"/>
      <c r="J63" s="63"/>
      <c r="K63" s="63"/>
      <c r="L63" s="63"/>
      <c r="M63" s="415"/>
      <c r="N63" s="63"/>
      <c r="O63" s="63"/>
      <c r="P63" s="63"/>
      <c r="Q63" s="63"/>
      <c r="R63" s="63"/>
      <c r="S63" s="63"/>
      <c r="T63" s="63"/>
      <c r="U63" s="63"/>
      <c r="V63" s="63"/>
      <c r="W63" s="63"/>
      <c r="X63" s="63"/>
      <c r="Y63" s="112"/>
      <c r="Z63" s="63"/>
      <c r="AA63" s="63"/>
      <c r="AB63" s="63"/>
      <c r="AC63" s="63"/>
      <c r="AD63" s="63"/>
    </row>
    <row r="64" spans="1:30" ht="15.6">
      <c r="A64" s="116" t="s">
        <v>388</v>
      </c>
      <c r="B64" s="116"/>
      <c r="C64" s="63"/>
      <c r="D64" s="63"/>
      <c r="E64" s="63"/>
      <c r="F64" s="63"/>
      <c r="G64" s="63"/>
      <c r="H64" s="63"/>
      <c r="I64" s="964"/>
      <c r="J64" s="63"/>
      <c r="K64" s="63"/>
      <c r="L64" s="63"/>
      <c r="M64" s="964"/>
      <c r="N64" s="63"/>
      <c r="O64" s="63"/>
      <c r="P64" s="63"/>
      <c r="Q64" s="63"/>
      <c r="R64" s="63"/>
      <c r="S64" s="63"/>
      <c r="T64" s="63"/>
      <c r="U64" s="63"/>
      <c r="V64" s="63"/>
      <c r="W64" s="63"/>
      <c r="X64" s="63"/>
      <c r="Y64" s="63"/>
      <c r="Z64" s="63"/>
      <c r="AA64" s="63"/>
      <c r="AB64" s="63"/>
      <c r="AC64" s="63"/>
      <c r="AD64" s="63"/>
    </row>
    <row r="65" spans="1:30" ht="17.399999999999999">
      <c r="A65" s="63"/>
      <c r="B65" s="63"/>
      <c r="C65" s="63"/>
      <c r="D65" s="63"/>
      <c r="E65" s="63"/>
      <c r="F65" s="63"/>
      <c r="G65" s="63"/>
      <c r="H65" s="63"/>
      <c r="I65" s="415"/>
      <c r="J65" s="63"/>
      <c r="K65" s="63"/>
      <c r="L65" s="63"/>
      <c r="M65" s="415"/>
      <c r="N65" s="63"/>
      <c r="O65" s="63"/>
      <c r="P65" s="63"/>
      <c r="Q65" s="63"/>
      <c r="R65" s="63"/>
      <c r="S65" s="63"/>
      <c r="T65" s="63"/>
      <c r="U65" s="63"/>
      <c r="V65" s="63"/>
      <c r="W65" s="63"/>
      <c r="X65" s="63"/>
      <c r="Y65" s="112"/>
      <c r="Z65" s="63"/>
      <c r="AA65" s="63"/>
      <c r="AB65" s="63"/>
      <c r="AC65" s="63"/>
      <c r="AD65" s="63"/>
    </row>
    <row r="66" spans="1:30" ht="13.8" thickBot="1">
      <c r="A66" s="372"/>
      <c r="B66" s="364"/>
      <c r="C66" s="1344" t="str">
        <f>Umsatzplanung!B28</f>
        <v>Inhaber / Meister</v>
      </c>
      <c r="D66" s="1345"/>
      <c r="E66" s="1345"/>
      <c r="F66" s="1348"/>
      <c r="G66" s="1344" t="str">
        <f>Umsatzplanung!G28</f>
        <v>Gesellen</v>
      </c>
      <c r="H66" s="1345"/>
      <c r="I66" s="1345"/>
      <c r="J66" s="1348"/>
      <c r="K66" s="1344" t="str">
        <f>Umsatzplanung!L28</f>
        <v>Auszubildende</v>
      </c>
      <c r="L66" s="1345"/>
      <c r="M66" s="1345"/>
      <c r="N66" s="1346"/>
      <c r="O66" s="63"/>
      <c r="P66" s="63"/>
      <c r="Q66" s="63"/>
      <c r="R66" s="63"/>
      <c r="S66" s="63"/>
      <c r="T66" s="63"/>
      <c r="U66" s="63"/>
      <c r="V66" s="63"/>
      <c r="W66" s="63"/>
      <c r="X66" s="63"/>
      <c r="Y66" s="63"/>
      <c r="Z66" s="63"/>
      <c r="AA66" s="63"/>
      <c r="AB66" s="63"/>
      <c r="AC66" s="63"/>
      <c r="AD66" s="63"/>
    </row>
    <row r="67" spans="1:30" ht="13.8" thickBot="1">
      <c r="A67" s="609" t="s">
        <v>0</v>
      </c>
      <c r="B67" s="610"/>
      <c r="C67" s="611" t="s">
        <v>131</v>
      </c>
      <c r="D67" s="487" t="s">
        <v>127</v>
      </c>
      <c r="E67" s="487" t="s">
        <v>154</v>
      </c>
      <c r="F67" s="488" t="s">
        <v>1</v>
      </c>
      <c r="G67" s="611" t="s">
        <v>131</v>
      </c>
      <c r="H67" s="487" t="s">
        <v>127</v>
      </c>
      <c r="I67" s="965" t="s">
        <v>154</v>
      </c>
      <c r="J67" s="488" t="s">
        <v>1</v>
      </c>
      <c r="K67" s="611" t="s">
        <v>131</v>
      </c>
      <c r="L67" s="487" t="s">
        <v>127</v>
      </c>
      <c r="M67" s="965" t="s">
        <v>154</v>
      </c>
      <c r="N67" s="612" t="s">
        <v>1</v>
      </c>
      <c r="O67" s="63"/>
      <c r="P67" s="63"/>
      <c r="Q67" s="63"/>
      <c r="R67" s="63"/>
      <c r="S67" s="63"/>
      <c r="T67" s="63"/>
      <c r="U67" s="63"/>
      <c r="V67" s="63"/>
      <c r="W67" s="63"/>
      <c r="X67" s="63"/>
      <c r="Y67" s="63"/>
      <c r="Z67" s="63"/>
      <c r="AA67" s="63"/>
      <c r="AB67" s="63"/>
      <c r="AC67" s="63"/>
      <c r="AD67" s="63"/>
    </row>
    <row r="68" spans="1:30" ht="12.75" customHeight="1">
      <c r="A68" s="613" t="s">
        <v>132</v>
      </c>
      <c r="B68" s="614"/>
      <c r="C68" s="615"/>
      <c r="D68" s="826">
        <f>Umsatzplanung!C30</f>
        <v>0</v>
      </c>
      <c r="E68" s="491">
        <f>52*D68</f>
        <v>0</v>
      </c>
      <c r="F68" s="492"/>
      <c r="G68" s="500"/>
      <c r="H68" s="826">
        <f>Umsatzplanung!H30</f>
        <v>0</v>
      </c>
      <c r="I68" s="888">
        <f>52*H68</f>
        <v>0</v>
      </c>
      <c r="J68" s="492"/>
      <c r="K68" s="500"/>
      <c r="L68" s="826">
        <f>Umsatzplanung!M30</f>
        <v>0</v>
      </c>
      <c r="M68" s="888">
        <f>52*L68</f>
        <v>0</v>
      </c>
      <c r="N68" s="491"/>
      <c r="O68" s="63"/>
      <c r="P68" s="63"/>
      <c r="Q68" s="63"/>
      <c r="R68" s="63"/>
      <c r="S68" s="63"/>
      <c r="T68" s="63"/>
      <c r="U68" s="63"/>
      <c r="V68" s="63"/>
      <c r="W68" s="63"/>
      <c r="X68" s="63"/>
      <c r="Y68" s="112"/>
      <c r="Z68" s="63"/>
      <c r="AA68" s="63"/>
      <c r="AB68" s="63"/>
      <c r="AC68" s="63"/>
      <c r="AD68" s="63"/>
    </row>
    <row r="69" spans="1:30" ht="13.8">
      <c r="A69" s="86" t="s">
        <v>441</v>
      </c>
      <c r="B69" s="69"/>
      <c r="C69" s="616"/>
      <c r="D69" s="826">
        <f>D68/5</f>
        <v>0</v>
      </c>
      <c r="E69" s="180"/>
      <c r="F69" s="495"/>
      <c r="G69" s="180"/>
      <c r="H69" s="826">
        <f>H68/5</f>
        <v>0</v>
      </c>
      <c r="I69" s="96"/>
      <c r="J69" s="495"/>
      <c r="K69" s="180"/>
      <c r="L69" s="826">
        <f>L68/5</f>
        <v>0</v>
      </c>
      <c r="M69" s="96">
        <f>M68/5</f>
        <v>0</v>
      </c>
      <c r="N69" s="180"/>
      <c r="O69" s="63"/>
      <c r="P69" s="63"/>
      <c r="Q69" s="63"/>
      <c r="R69" s="63"/>
      <c r="S69" s="63"/>
      <c r="T69" s="63"/>
      <c r="U69" s="63"/>
      <c r="V69" s="63"/>
      <c r="W69" s="63"/>
      <c r="X69" s="63"/>
      <c r="Y69" s="63"/>
      <c r="Z69" s="63"/>
      <c r="AA69" s="63"/>
      <c r="AB69" s="63"/>
      <c r="AC69" s="63"/>
      <c r="AD69" s="63"/>
    </row>
    <row r="70" spans="1:30">
      <c r="A70" s="86" t="s">
        <v>133</v>
      </c>
      <c r="B70" s="69"/>
      <c r="C70" s="882">
        <f>Umsatzplanung!B32</f>
        <v>10</v>
      </c>
      <c r="D70" s="180"/>
      <c r="E70" s="163">
        <f>C70*D$69</f>
        <v>0</v>
      </c>
      <c r="F70" s="495"/>
      <c r="G70" s="882">
        <f>Umsatzplanung!G32</f>
        <v>10</v>
      </c>
      <c r="H70" s="180"/>
      <c r="I70" s="96">
        <f>G70*H$69</f>
        <v>0</v>
      </c>
      <c r="J70" s="495"/>
      <c r="K70" s="882">
        <f>Umsatzplanung!L32</f>
        <v>10</v>
      </c>
      <c r="L70" s="180"/>
      <c r="M70" s="96">
        <f>K70*L$69</f>
        <v>0</v>
      </c>
      <c r="N70" s="180"/>
      <c r="O70" s="63"/>
      <c r="P70" s="63"/>
      <c r="Q70" s="63"/>
      <c r="R70" s="63"/>
      <c r="S70" s="63"/>
      <c r="T70" s="63"/>
      <c r="U70" s="63"/>
      <c r="V70" s="63"/>
      <c r="W70" s="63"/>
      <c r="X70" s="63"/>
      <c r="Y70" s="63"/>
      <c r="Z70" s="63"/>
      <c r="AA70" s="63"/>
      <c r="AB70" s="63"/>
      <c r="AC70" s="63"/>
      <c r="AD70" s="63"/>
    </row>
    <row r="71" spans="1:30" ht="12.75" customHeight="1">
      <c r="A71" s="86" t="s">
        <v>134</v>
      </c>
      <c r="B71" s="69"/>
      <c r="C71" s="882">
        <f>Umsatzplanung!B33</f>
        <v>10</v>
      </c>
      <c r="D71" s="180"/>
      <c r="E71" s="163">
        <f>C71*D$69</f>
        <v>0</v>
      </c>
      <c r="F71" s="495"/>
      <c r="G71" s="882">
        <f>Umsatzplanung!G33</f>
        <v>30</v>
      </c>
      <c r="H71" s="180"/>
      <c r="I71" s="96">
        <f>G71*H$69</f>
        <v>0</v>
      </c>
      <c r="J71" s="495"/>
      <c r="K71" s="882">
        <f>Umsatzplanung!L33</f>
        <v>30</v>
      </c>
      <c r="L71" s="180"/>
      <c r="M71" s="96">
        <f>K71*L$69</f>
        <v>0</v>
      </c>
      <c r="N71" s="180"/>
      <c r="O71" s="63"/>
      <c r="P71" s="63"/>
      <c r="Q71" s="63"/>
      <c r="R71" s="63"/>
      <c r="S71" s="63"/>
      <c r="T71" s="63"/>
      <c r="U71" s="63"/>
      <c r="V71" s="63"/>
      <c r="W71" s="63"/>
      <c r="X71" s="63"/>
      <c r="Y71" s="112"/>
      <c r="Z71" s="63"/>
      <c r="AA71" s="63"/>
      <c r="AB71" s="63"/>
      <c r="AC71" s="63"/>
      <c r="AD71" s="63"/>
    </row>
    <row r="72" spans="1:30">
      <c r="A72" s="86" t="s">
        <v>135</v>
      </c>
      <c r="B72" s="69"/>
      <c r="C72" s="882">
        <f>Umsatzplanung!B34</f>
        <v>5</v>
      </c>
      <c r="D72" s="180"/>
      <c r="E72" s="163">
        <f>C72*D$69</f>
        <v>0</v>
      </c>
      <c r="F72" s="495"/>
      <c r="G72" s="882">
        <f>Umsatzplanung!G34</f>
        <v>10</v>
      </c>
      <c r="H72" s="180"/>
      <c r="I72" s="96">
        <f>G72*H$69</f>
        <v>0</v>
      </c>
      <c r="J72" s="495"/>
      <c r="K72" s="882">
        <f>Umsatzplanung!L34</f>
        <v>10</v>
      </c>
      <c r="L72" s="180"/>
      <c r="M72" s="96">
        <f>K72*L$69</f>
        <v>0</v>
      </c>
      <c r="N72" s="180"/>
      <c r="O72" s="63"/>
      <c r="P72" s="63"/>
      <c r="Q72" s="63"/>
      <c r="R72" s="63"/>
      <c r="S72" s="63"/>
      <c r="T72" s="63"/>
      <c r="U72" s="63"/>
      <c r="V72" s="63"/>
      <c r="W72" s="63"/>
      <c r="X72" s="63"/>
      <c r="Y72" s="63"/>
      <c r="Z72" s="63"/>
      <c r="AA72" s="63"/>
      <c r="AB72" s="63"/>
      <c r="AC72" s="63"/>
      <c r="AD72" s="63"/>
    </row>
    <row r="73" spans="1:30" ht="13.8" thickBot="1">
      <c r="A73" s="372" t="s">
        <v>136</v>
      </c>
      <c r="B73" s="63"/>
      <c r="C73" s="883">
        <f>Umsatzplanung!B35</f>
        <v>11.785</v>
      </c>
      <c r="D73" s="72"/>
      <c r="E73" s="163">
        <f>C73*D$69</f>
        <v>0</v>
      </c>
      <c r="F73" s="498"/>
      <c r="G73" s="883">
        <f>Umsatzplanung!G35</f>
        <v>5</v>
      </c>
      <c r="H73" s="72"/>
      <c r="I73" s="394">
        <f>G73*H$69</f>
        <v>0</v>
      </c>
      <c r="J73" s="498"/>
      <c r="K73" s="883">
        <f>Umsatzplanung!L35</f>
        <v>50</v>
      </c>
      <c r="L73" s="72"/>
      <c r="M73" s="394">
        <f>K73*L$69</f>
        <v>0</v>
      </c>
      <c r="N73" s="72"/>
      <c r="O73" s="63"/>
      <c r="P73" s="63"/>
      <c r="Q73" s="63"/>
      <c r="R73" s="63"/>
      <c r="S73" s="63"/>
      <c r="T73" s="63"/>
      <c r="U73" s="63"/>
      <c r="V73" s="63"/>
      <c r="W73" s="63"/>
      <c r="X73" s="63"/>
      <c r="Y73" s="63"/>
      <c r="Z73" s="63"/>
      <c r="AA73" s="63"/>
      <c r="AB73" s="63"/>
      <c r="AC73" s="63"/>
      <c r="AD73" s="63"/>
    </row>
    <row r="74" spans="1:30">
      <c r="A74" s="613" t="s">
        <v>138</v>
      </c>
      <c r="B74" s="614"/>
      <c r="C74" s="500"/>
      <c r="D74" s="491"/>
      <c r="E74" s="888">
        <f>E68-SUM(E70:E73)</f>
        <v>0</v>
      </c>
      <c r="F74" s="492"/>
      <c r="G74" s="500"/>
      <c r="H74" s="491"/>
      <c r="I74" s="888">
        <f>I68-SUM(I70:I73)</f>
        <v>0</v>
      </c>
      <c r="J74" s="492"/>
      <c r="K74" s="500"/>
      <c r="L74" s="491"/>
      <c r="M74" s="888">
        <f>M68-SUM(M70:M73)</f>
        <v>0</v>
      </c>
      <c r="N74" s="491"/>
      <c r="O74" s="63"/>
      <c r="P74" s="63"/>
      <c r="Q74" s="63"/>
      <c r="R74" s="63"/>
      <c r="S74" s="63"/>
      <c r="T74" s="63"/>
      <c r="U74" s="63"/>
      <c r="V74" s="63"/>
      <c r="W74" s="63"/>
      <c r="X74" s="63"/>
      <c r="Y74" s="63"/>
      <c r="Z74" s="63"/>
      <c r="AA74" s="63"/>
      <c r="AB74" s="63"/>
      <c r="AC74" s="63"/>
      <c r="AD74" s="63"/>
    </row>
    <row r="75" spans="1:30" ht="13.8" thickBot="1">
      <c r="A75" s="617" t="s">
        <v>149</v>
      </c>
      <c r="B75" s="618"/>
      <c r="C75" s="501"/>
      <c r="D75" s="502"/>
      <c r="E75" s="815">
        <f>Umsatzplanung!D37</f>
        <v>0</v>
      </c>
      <c r="F75" s="503"/>
      <c r="G75" s="501"/>
      <c r="H75" s="502"/>
      <c r="I75" s="1026">
        <f>Umsatzplanung!I37</f>
        <v>0</v>
      </c>
      <c r="J75" s="503"/>
      <c r="K75" s="501"/>
      <c r="L75" s="502"/>
      <c r="M75" s="1026">
        <f>Umsatzplanung!N37</f>
        <v>0</v>
      </c>
      <c r="N75" s="502"/>
      <c r="O75" s="63"/>
      <c r="P75" s="63"/>
      <c r="Q75" s="63"/>
      <c r="R75" s="63"/>
      <c r="S75" s="63"/>
      <c r="T75" s="63"/>
      <c r="U75" s="63"/>
      <c r="V75" s="63"/>
      <c r="W75" s="63"/>
      <c r="X75" s="63"/>
      <c r="Y75" s="63"/>
      <c r="Z75" s="63"/>
      <c r="AA75" s="63"/>
      <c r="AB75" s="63"/>
      <c r="AC75" s="63"/>
      <c r="AD75" s="63"/>
    </row>
    <row r="76" spans="1:30" ht="12.75" customHeight="1">
      <c r="A76" s="354" t="s">
        <v>137</v>
      </c>
      <c r="B76" s="69"/>
      <c r="C76" s="619"/>
      <c r="D76" s="377"/>
      <c r="E76" s="94">
        <f>E74+E75</f>
        <v>0</v>
      </c>
      <c r="F76" s="505"/>
      <c r="G76" s="619"/>
      <c r="H76" s="377"/>
      <c r="I76" s="94">
        <f>I74+I75</f>
        <v>0</v>
      </c>
      <c r="J76" s="505"/>
      <c r="K76" s="619"/>
      <c r="L76" s="377"/>
      <c r="M76" s="94">
        <f>M74+M75</f>
        <v>0</v>
      </c>
      <c r="N76" s="377"/>
      <c r="O76" s="63"/>
      <c r="P76" s="63"/>
      <c r="Q76" s="63"/>
      <c r="R76" s="63"/>
      <c r="S76" s="63"/>
      <c r="T76" s="63"/>
      <c r="U76" s="63"/>
      <c r="V76" s="63"/>
      <c r="W76" s="63"/>
      <c r="X76" s="63"/>
      <c r="Y76" s="112"/>
      <c r="Z76" s="63"/>
      <c r="AA76" s="63"/>
      <c r="AB76" s="63"/>
      <c r="AC76" s="63"/>
      <c r="AD76" s="63"/>
    </row>
    <row r="77" spans="1:30" ht="13.8" thickBot="1">
      <c r="A77" s="617" t="s">
        <v>150</v>
      </c>
      <c r="B77" s="618"/>
      <c r="C77" s="501"/>
      <c r="D77" s="502"/>
      <c r="E77" s="889">
        <f>E76*F77</f>
        <v>0</v>
      </c>
      <c r="F77" s="884">
        <f>Umsatzplanung!E39</f>
        <v>0.3</v>
      </c>
      <c r="G77" s="501"/>
      <c r="H77" s="502"/>
      <c r="I77" s="889">
        <f>I76*J77</f>
        <v>0</v>
      </c>
      <c r="J77" s="884">
        <f>Umsatzplanung!J39</f>
        <v>0.2</v>
      </c>
      <c r="K77" s="501"/>
      <c r="L77" s="502"/>
      <c r="M77" s="889">
        <f>M76*N77</f>
        <v>0</v>
      </c>
      <c r="N77" s="869">
        <f>Umsatzplanung!O39</f>
        <v>0.5</v>
      </c>
      <c r="O77" s="63"/>
      <c r="P77" s="63"/>
      <c r="Q77" s="63"/>
      <c r="R77" s="63"/>
      <c r="S77" s="63"/>
      <c r="T77" s="63"/>
      <c r="U77" s="63"/>
      <c r="V77" s="63"/>
      <c r="W77" s="63"/>
      <c r="X77" s="63"/>
      <c r="Y77" s="63"/>
      <c r="Z77" s="63"/>
      <c r="AA77" s="63"/>
      <c r="AB77" s="63"/>
      <c r="AC77" s="63"/>
      <c r="AD77" s="63"/>
    </row>
    <row r="78" spans="1:30">
      <c r="A78" s="613" t="s">
        <v>389</v>
      </c>
      <c r="B78" s="614"/>
      <c r="C78" s="500"/>
      <c r="D78" s="491"/>
      <c r="E78" s="888">
        <f>E76-E77</f>
        <v>0</v>
      </c>
      <c r="F78" s="505"/>
      <c r="G78" s="619"/>
      <c r="H78" s="377"/>
      <c r="I78" s="94">
        <f>I76-I77</f>
        <v>0</v>
      </c>
      <c r="J78" s="505"/>
      <c r="K78" s="619"/>
      <c r="L78" s="377"/>
      <c r="M78" s="94">
        <f>M76-M77</f>
        <v>0</v>
      </c>
      <c r="N78" s="377"/>
      <c r="O78" s="63"/>
      <c r="P78" s="63"/>
      <c r="Q78" s="63"/>
      <c r="R78" s="63"/>
      <c r="S78" s="63"/>
      <c r="T78" s="63"/>
      <c r="U78" s="63"/>
      <c r="V78" s="63"/>
      <c r="W78" s="63"/>
      <c r="X78" s="63"/>
      <c r="Y78" s="63"/>
      <c r="Z78" s="63"/>
      <c r="AA78" s="63"/>
      <c r="AB78" s="63"/>
      <c r="AC78" s="63"/>
      <c r="AD78" s="63"/>
    </row>
    <row r="79" spans="1:30" ht="15" customHeight="1">
      <c r="A79" s="589" t="s">
        <v>139</v>
      </c>
      <c r="B79" s="424"/>
      <c r="C79" s="620"/>
      <c r="D79" s="621"/>
      <c r="E79" s="1027">
        <f>Umsatzplanung!D41</f>
        <v>1</v>
      </c>
      <c r="F79" s="622"/>
      <c r="G79" s="620"/>
      <c r="H79" s="621"/>
      <c r="I79" s="1028">
        <f>Umsatzplanung!I41</f>
        <v>0</v>
      </c>
      <c r="J79" s="622"/>
      <c r="K79" s="620"/>
      <c r="L79" s="621"/>
      <c r="M79" s="1028">
        <f>Umsatzplanung!N41</f>
        <v>0</v>
      </c>
      <c r="N79" s="621"/>
      <c r="O79" s="196"/>
      <c r="P79" s="63"/>
      <c r="Q79" s="63"/>
      <c r="R79" s="63"/>
      <c r="S79" s="63"/>
      <c r="T79" s="63"/>
      <c r="U79" s="63"/>
      <c r="V79" s="63"/>
      <c r="W79" s="63"/>
      <c r="X79" s="63"/>
      <c r="Y79" s="112"/>
      <c r="Z79" s="63"/>
      <c r="AA79" s="63"/>
      <c r="AB79" s="63"/>
      <c r="AC79" s="63"/>
      <c r="AD79" s="63"/>
    </row>
    <row r="80" spans="1:30" ht="13.8" thickBot="1">
      <c r="A80" s="623" t="s">
        <v>390</v>
      </c>
      <c r="B80" s="523"/>
      <c r="C80" s="523"/>
      <c r="D80" s="523"/>
      <c r="E80" s="962">
        <f>E78*E79</f>
        <v>0</v>
      </c>
      <c r="F80" s="523"/>
      <c r="G80" s="523"/>
      <c r="H80" s="523"/>
      <c r="I80" s="962">
        <f>I78*I79</f>
        <v>0</v>
      </c>
      <c r="J80" s="523"/>
      <c r="K80" s="523"/>
      <c r="L80" s="523"/>
      <c r="M80" s="962">
        <f>M78*M79</f>
        <v>0</v>
      </c>
      <c r="N80" s="502"/>
      <c r="O80" s="63"/>
      <c r="P80" s="63"/>
      <c r="Q80" s="63"/>
      <c r="R80" s="63"/>
      <c r="S80" s="63"/>
      <c r="T80" s="63"/>
      <c r="U80" s="63"/>
      <c r="V80" s="63"/>
      <c r="W80" s="63"/>
      <c r="X80" s="63"/>
      <c r="Y80" s="63"/>
      <c r="Z80" s="63"/>
      <c r="AA80" s="63"/>
      <c r="AB80" s="63"/>
      <c r="AC80" s="63"/>
      <c r="AD80" s="63"/>
    </row>
    <row r="81" spans="1:30" ht="13.8">
      <c r="A81" s="606" t="s">
        <v>439</v>
      </c>
      <c r="B81" s="607"/>
      <c r="C81" s="607"/>
      <c r="D81" s="607"/>
      <c r="E81" s="624">
        <f>IF(M81=0,E80+I80+M80,E80+I80)</f>
        <v>0</v>
      </c>
      <c r="F81" s="63"/>
      <c r="G81" s="63"/>
      <c r="H81" s="63"/>
      <c r="I81" s="415"/>
      <c r="J81" s="63"/>
      <c r="K81" s="63"/>
      <c r="L81" s="370" t="s">
        <v>570</v>
      </c>
      <c r="M81" s="1038"/>
      <c r="N81" s="63"/>
      <c r="O81" s="63"/>
      <c r="P81" s="63"/>
      <c r="Q81" s="63"/>
      <c r="R81" s="63"/>
      <c r="S81" s="63"/>
      <c r="T81" s="63"/>
      <c r="U81" s="63"/>
      <c r="V81" s="63"/>
      <c r="W81" s="63"/>
      <c r="X81" s="63"/>
      <c r="Y81" s="63"/>
      <c r="Z81" s="63"/>
      <c r="AA81" s="63"/>
      <c r="AB81" s="63"/>
      <c r="AC81" s="63"/>
      <c r="AD81" s="63"/>
    </row>
    <row r="82" spans="1:30" ht="18" thickBot="1">
      <c r="A82" s="63"/>
      <c r="B82" s="63"/>
      <c r="C82" s="63"/>
      <c r="D82" s="63"/>
      <c r="E82" s="63"/>
      <c r="F82" s="63"/>
      <c r="G82" s="63"/>
      <c r="H82" s="63"/>
      <c r="I82" s="415"/>
      <c r="J82" s="63"/>
      <c r="K82" s="63"/>
      <c r="L82" s="370" t="s">
        <v>571</v>
      </c>
      <c r="M82" s="890">
        <f>M80*M81</f>
        <v>0</v>
      </c>
      <c r="N82" s="63"/>
      <c r="O82" s="63"/>
      <c r="P82" s="63"/>
      <c r="Q82" s="63"/>
      <c r="R82" s="63"/>
      <c r="S82" s="63"/>
      <c r="T82" s="63"/>
      <c r="U82" s="415"/>
      <c r="V82" s="63"/>
      <c r="W82" s="63"/>
      <c r="X82" s="63"/>
      <c r="Y82" s="112"/>
      <c r="Z82" s="63"/>
      <c r="AA82" s="63"/>
      <c r="AB82" s="63"/>
      <c r="AC82" s="63"/>
      <c r="AD82" s="63"/>
    </row>
    <row r="83" spans="1:30">
      <c r="A83" s="63"/>
      <c r="B83" s="63"/>
      <c r="C83" s="63"/>
      <c r="D83" s="63"/>
      <c r="E83" s="63"/>
      <c r="F83" s="63"/>
      <c r="G83" s="63"/>
      <c r="H83" s="63"/>
      <c r="I83" s="415"/>
      <c r="J83" s="63"/>
      <c r="K83" s="63"/>
      <c r="L83" s="63"/>
      <c r="M83" s="415"/>
      <c r="N83" s="63"/>
      <c r="O83" s="63"/>
      <c r="P83" s="63"/>
      <c r="Q83" s="63"/>
      <c r="R83" s="63"/>
      <c r="S83" s="63"/>
      <c r="T83" s="63"/>
      <c r="U83" s="415"/>
      <c r="V83" s="63"/>
      <c r="W83" s="63"/>
      <c r="X83" s="63"/>
      <c r="Y83" s="63"/>
      <c r="Z83" s="63"/>
      <c r="AA83" s="63"/>
      <c r="AB83" s="63"/>
      <c r="AC83" s="63"/>
      <c r="AD83" s="63"/>
    </row>
    <row r="84" spans="1:30">
      <c r="A84" s="63"/>
      <c r="B84" s="63"/>
      <c r="C84" s="63"/>
      <c r="D84" s="63"/>
      <c r="E84" s="63"/>
      <c r="F84" s="63"/>
      <c r="G84" s="63"/>
      <c r="H84" s="63"/>
      <c r="I84" s="415"/>
      <c r="J84" s="234" t="s">
        <v>474</v>
      </c>
      <c r="K84" s="63"/>
      <c r="M84" s="415"/>
      <c r="N84" s="63"/>
      <c r="O84" s="63"/>
      <c r="P84" s="63"/>
      <c r="Q84" s="63"/>
      <c r="R84" s="63"/>
      <c r="S84" s="63"/>
      <c r="T84" s="63"/>
      <c r="U84" s="415"/>
      <c r="V84" s="63"/>
      <c r="W84" s="63"/>
      <c r="X84" s="63"/>
      <c r="Y84" s="63"/>
      <c r="Z84" s="63"/>
      <c r="AA84" s="63"/>
      <c r="AB84" s="63"/>
      <c r="AC84" s="63"/>
      <c r="AD84" s="63"/>
    </row>
    <row r="85" spans="1:30" ht="17.399999999999999">
      <c r="A85" s="116" t="s">
        <v>469</v>
      </c>
      <c r="B85" s="116"/>
      <c r="C85" s="63"/>
      <c r="D85" s="63"/>
      <c r="E85" s="63"/>
      <c r="F85" s="63"/>
      <c r="G85" s="63"/>
      <c r="H85" s="63"/>
      <c r="I85" s="415"/>
      <c r="J85" s="885">
        <v>0.19</v>
      </c>
      <c r="K85" s="63"/>
      <c r="N85" s="63"/>
      <c r="O85" s="63"/>
      <c r="P85" s="63"/>
      <c r="Q85" s="63"/>
      <c r="R85" s="63"/>
      <c r="S85" s="63"/>
      <c r="T85" s="63"/>
      <c r="U85" s="415"/>
      <c r="V85" s="63"/>
      <c r="W85" s="63"/>
      <c r="X85" s="63"/>
      <c r="Y85" s="112"/>
      <c r="Z85" s="63"/>
      <c r="AA85" s="63"/>
      <c r="AB85" s="63"/>
      <c r="AC85" s="63"/>
      <c r="AD85" s="63"/>
    </row>
    <row r="86" spans="1:30">
      <c r="A86" s="63"/>
      <c r="B86" s="63"/>
      <c r="C86" s="63"/>
      <c r="D86" s="63"/>
      <c r="E86" s="63"/>
      <c r="F86" s="63"/>
      <c r="G86" s="63"/>
      <c r="H86" s="1233" t="s">
        <v>518</v>
      </c>
      <c r="I86" s="1310"/>
      <c r="J86" s="1233" t="s">
        <v>480</v>
      </c>
      <c r="K86" s="1310"/>
      <c r="N86" s="63"/>
      <c r="O86" s="63"/>
      <c r="P86" s="63"/>
      <c r="Q86" s="63"/>
      <c r="R86" s="63"/>
      <c r="S86" s="63"/>
      <c r="T86" s="63"/>
      <c r="U86" s="415"/>
      <c r="V86" s="63"/>
      <c r="W86" s="63"/>
      <c r="X86" s="63"/>
      <c r="Y86" s="63"/>
      <c r="Z86" s="63"/>
      <c r="AA86" s="63"/>
      <c r="AB86" s="63"/>
      <c r="AC86" s="63"/>
      <c r="AD86" s="63"/>
    </row>
    <row r="87" spans="1:30">
      <c r="A87" s="1231" t="s">
        <v>437</v>
      </c>
      <c r="B87" s="1315" t="s">
        <v>391</v>
      </c>
      <c r="C87" s="1309" t="s">
        <v>392</v>
      </c>
      <c r="D87" s="1309"/>
      <c r="E87" s="1315" t="s">
        <v>391</v>
      </c>
      <c r="F87" s="625">
        <f>$D$61</f>
        <v>0</v>
      </c>
      <c r="G87" s="1315" t="s">
        <v>391</v>
      </c>
      <c r="H87" s="1318">
        <f>IF(F88&gt;0,F87/F88,0)</f>
        <v>0</v>
      </c>
      <c r="I87" s="1333" t="s">
        <v>29</v>
      </c>
      <c r="J87" s="1331">
        <f>IF(J85="","",H87*(1+J85))</f>
        <v>0</v>
      </c>
      <c r="K87" s="1320" t="s">
        <v>29</v>
      </c>
      <c r="N87" s="63"/>
      <c r="O87" s="63"/>
      <c r="P87" s="63"/>
      <c r="Q87" s="63"/>
      <c r="R87" s="63"/>
      <c r="S87" s="63"/>
      <c r="T87" s="63"/>
      <c r="U87" s="415"/>
      <c r="V87" s="63"/>
      <c r="W87" s="63"/>
      <c r="X87" s="63"/>
      <c r="Y87" s="63"/>
      <c r="Z87" s="63"/>
      <c r="AA87" s="63"/>
      <c r="AB87" s="63"/>
      <c r="AC87" s="63"/>
      <c r="AD87" s="63"/>
    </row>
    <row r="88" spans="1:30" ht="12.75" customHeight="1">
      <c r="A88" s="1317"/>
      <c r="B88" s="1316"/>
      <c r="C88" s="1309" t="s">
        <v>404</v>
      </c>
      <c r="D88" s="1309"/>
      <c r="E88" s="1316"/>
      <c r="F88" s="626">
        <f>E81</f>
        <v>0</v>
      </c>
      <c r="G88" s="1316"/>
      <c r="H88" s="1319"/>
      <c r="I88" s="1334"/>
      <c r="J88" s="1332"/>
      <c r="K88" s="1321"/>
      <c r="N88" s="63"/>
      <c r="O88" s="63"/>
      <c r="P88" s="63"/>
      <c r="Q88" s="63"/>
      <c r="R88" s="63"/>
      <c r="S88" s="63"/>
      <c r="T88" s="63"/>
      <c r="U88" s="415"/>
      <c r="V88" s="63"/>
      <c r="W88" s="63"/>
      <c r="X88" s="63"/>
      <c r="Y88" s="112"/>
      <c r="Z88" s="63"/>
      <c r="AA88" s="63"/>
      <c r="AB88" s="63"/>
      <c r="AC88" s="63"/>
      <c r="AD88" s="63"/>
    </row>
    <row r="89" spans="1:30">
      <c r="A89" s="63"/>
      <c r="B89" s="63"/>
      <c r="C89" s="63"/>
      <c r="D89" s="63"/>
      <c r="E89" s="63"/>
      <c r="F89" s="63"/>
      <c r="G89" s="63"/>
      <c r="H89" s="63"/>
      <c r="I89" s="415"/>
      <c r="J89" s="63"/>
      <c r="K89" s="63"/>
      <c r="L89" s="63"/>
      <c r="M89" s="415"/>
      <c r="N89" s="63"/>
      <c r="O89" s="63"/>
      <c r="P89" s="63"/>
      <c r="Q89" s="63"/>
      <c r="R89" s="63"/>
      <c r="S89" s="63"/>
      <c r="T89" s="63"/>
      <c r="U89" s="415"/>
      <c r="V89" s="63"/>
      <c r="W89" s="63"/>
      <c r="X89" s="63"/>
      <c r="Y89" s="63"/>
      <c r="Z89" s="63"/>
      <c r="AA89" s="63"/>
      <c r="AB89" s="63"/>
      <c r="AC89" s="63"/>
      <c r="AD89" s="63"/>
    </row>
    <row r="90" spans="1:30">
      <c r="A90" s="63"/>
      <c r="B90" s="63"/>
      <c r="C90" s="63"/>
      <c r="D90" s="63"/>
      <c r="E90" s="63"/>
      <c r="F90" s="63"/>
      <c r="G90" s="63"/>
      <c r="H90" s="63"/>
      <c r="I90" s="415"/>
      <c r="J90" s="63"/>
      <c r="K90" s="63"/>
      <c r="L90" s="63"/>
      <c r="M90" s="415"/>
      <c r="N90" s="63"/>
      <c r="O90" s="63"/>
      <c r="P90" s="63"/>
      <c r="Q90" s="63"/>
      <c r="R90" s="63"/>
      <c r="S90" s="63"/>
      <c r="T90" s="63"/>
      <c r="U90" s="63"/>
      <c r="V90" s="63"/>
      <c r="W90" s="63"/>
      <c r="X90" s="63"/>
      <c r="Y90" s="63"/>
      <c r="Z90" s="63"/>
      <c r="AA90" s="63"/>
      <c r="AB90" s="63"/>
      <c r="AC90" s="63"/>
      <c r="AD90" s="63"/>
    </row>
    <row r="91" spans="1:30">
      <c r="A91" s="63"/>
      <c r="B91" s="63"/>
      <c r="C91" s="63"/>
      <c r="D91" s="63"/>
      <c r="E91" s="63"/>
      <c r="F91" s="63"/>
      <c r="G91" s="63"/>
      <c r="H91" s="63"/>
      <c r="I91" s="415"/>
      <c r="J91" s="63"/>
      <c r="K91" s="63"/>
      <c r="L91" s="63"/>
      <c r="M91" s="415"/>
      <c r="N91" s="63"/>
      <c r="O91" s="63"/>
      <c r="P91" s="63"/>
      <c r="Q91" s="63"/>
      <c r="R91" s="63"/>
      <c r="S91" s="63"/>
      <c r="T91" s="63"/>
      <c r="U91" s="63"/>
      <c r="V91" s="63"/>
      <c r="W91" s="63"/>
      <c r="X91" s="63"/>
      <c r="Y91" s="63"/>
      <c r="Z91" s="63"/>
      <c r="AA91" s="63"/>
      <c r="AB91" s="63"/>
      <c r="AC91" s="63"/>
      <c r="AD91" s="63"/>
    </row>
    <row r="92" spans="1:30">
      <c r="A92" s="63"/>
      <c r="B92" s="63"/>
      <c r="C92" s="63"/>
      <c r="D92" s="63"/>
      <c r="E92" s="63"/>
      <c r="F92" s="63"/>
      <c r="G92" s="63"/>
      <c r="H92" s="63"/>
      <c r="I92" s="415"/>
      <c r="J92" s="63"/>
      <c r="K92" s="63"/>
      <c r="L92" s="63"/>
      <c r="M92" s="415"/>
      <c r="N92" s="63"/>
      <c r="O92" s="63"/>
      <c r="P92" s="63"/>
      <c r="Q92" s="63"/>
      <c r="R92" s="63"/>
      <c r="S92" s="63"/>
      <c r="T92" s="63"/>
      <c r="U92" s="63"/>
      <c r="V92" s="63"/>
      <c r="W92" s="63"/>
      <c r="X92" s="63"/>
      <c r="Y92" s="63"/>
      <c r="Z92" s="63"/>
      <c r="AA92" s="63"/>
      <c r="AB92" s="63"/>
      <c r="AC92" s="63"/>
      <c r="AD92" s="63"/>
    </row>
    <row r="93" spans="1:30" hidden="1">
      <c r="A93" s="63"/>
      <c r="B93" s="63"/>
      <c r="C93" s="63"/>
      <c r="D93" s="63"/>
      <c r="E93" s="63"/>
      <c r="F93" s="63"/>
      <c r="G93" s="63"/>
      <c r="H93" s="63"/>
      <c r="I93" s="415"/>
      <c r="J93" s="63"/>
      <c r="K93" s="63"/>
      <c r="L93" s="63"/>
      <c r="M93" s="415"/>
      <c r="N93" s="63"/>
      <c r="O93" s="63"/>
      <c r="P93" s="63"/>
      <c r="Q93" s="63"/>
      <c r="R93" s="63"/>
      <c r="S93" s="63"/>
      <c r="T93" s="63"/>
      <c r="U93" s="63"/>
      <c r="V93" s="63"/>
      <c r="W93" s="63"/>
      <c r="X93" s="63"/>
      <c r="Y93" s="63"/>
      <c r="Z93" s="63"/>
      <c r="AA93" s="63"/>
      <c r="AB93" s="63"/>
      <c r="AC93" s="63"/>
      <c r="AD93" s="63"/>
    </row>
    <row r="94" spans="1:30" ht="19.5" hidden="1" customHeight="1">
      <c r="A94" s="63"/>
      <c r="B94" s="63"/>
      <c r="C94" s="1322" t="s">
        <v>478</v>
      </c>
      <c r="D94" s="1323"/>
      <c r="E94" s="1324"/>
      <c r="F94" s="63"/>
      <c r="G94" s="63"/>
      <c r="H94" s="63"/>
      <c r="I94" s="415"/>
      <c r="J94" s="63"/>
      <c r="K94" s="63"/>
      <c r="L94" s="63"/>
      <c r="M94" s="415"/>
      <c r="N94" s="63"/>
      <c r="O94" s="63"/>
      <c r="P94" s="63"/>
      <c r="Q94" s="63"/>
      <c r="R94" s="63"/>
      <c r="S94" s="63"/>
      <c r="T94" s="63"/>
      <c r="U94" s="63"/>
      <c r="V94" s="63"/>
      <c r="W94" s="63"/>
      <c r="X94" s="63"/>
      <c r="Y94" s="63"/>
      <c r="Z94" s="63"/>
      <c r="AA94" s="63"/>
      <c r="AB94" s="63"/>
      <c r="AC94" s="63"/>
      <c r="AD94" s="63"/>
    </row>
    <row r="95" spans="1:30" ht="14.25" hidden="1" customHeight="1">
      <c r="A95" s="838"/>
      <c r="C95" s="1325"/>
      <c r="D95" s="1326"/>
      <c r="E95" s="1327"/>
      <c r="F95" s="797"/>
      <c r="M95" s="415"/>
      <c r="N95" s="63"/>
      <c r="O95" s="63"/>
      <c r="P95" s="63"/>
      <c r="Q95" s="63"/>
      <c r="R95" s="63"/>
      <c r="S95" s="63"/>
      <c r="T95" s="63"/>
      <c r="U95" s="63"/>
      <c r="V95" s="63"/>
      <c r="W95" s="63"/>
      <c r="X95" s="63"/>
      <c r="Y95" s="63"/>
      <c r="Z95" s="63"/>
      <c r="AA95" s="63"/>
      <c r="AB95" s="63"/>
      <c r="AC95" s="63"/>
      <c r="AD95" s="63"/>
    </row>
    <row r="96" spans="1:30" ht="12.75" hidden="1" customHeight="1">
      <c r="A96" s="63"/>
      <c r="C96" s="1325"/>
      <c r="D96" s="1326"/>
      <c r="E96" s="1327"/>
      <c r="F96" s="797"/>
      <c r="M96" s="415"/>
      <c r="N96" s="63"/>
      <c r="O96" s="63"/>
      <c r="P96" s="63"/>
      <c r="Q96" s="63"/>
      <c r="R96" s="63"/>
      <c r="S96" s="63"/>
      <c r="T96" s="63"/>
      <c r="U96" s="63"/>
      <c r="V96" s="63"/>
      <c r="W96" s="63"/>
      <c r="X96" s="63"/>
      <c r="Y96" s="63"/>
      <c r="Z96" s="63"/>
      <c r="AA96" s="63"/>
      <c r="AB96" s="63"/>
      <c r="AC96" s="63"/>
      <c r="AD96" s="63"/>
    </row>
    <row r="97" spans="1:30" ht="15.75" hidden="1" customHeight="1">
      <c r="A97" s="63"/>
      <c r="C97" s="1325"/>
      <c r="D97" s="1326"/>
      <c r="E97" s="1327"/>
      <c r="F97" s="797"/>
      <c r="O97" s="63"/>
      <c r="P97" s="63"/>
      <c r="Q97" s="63"/>
      <c r="R97" s="63"/>
      <c r="S97" s="63"/>
      <c r="T97" s="63"/>
      <c r="U97" s="63"/>
      <c r="V97" s="63"/>
      <c r="W97" s="63"/>
      <c r="X97" s="63"/>
      <c r="Y97" s="63"/>
      <c r="Z97" s="63"/>
      <c r="AA97" s="63"/>
      <c r="AB97" s="63"/>
      <c r="AC97" s="63"/>
      <c r="AD97" s="63"/>
    </row>
    <row r="98" spans="1:30" hidden="1">
      <c r="C98" s="1328"/>
      <c r="D98" s="1329"/>
      <c r="E98" s="1330"/>
      <c r="F98" s="797"/>
      <c r="O98" s="63"/>
      <c r="P98" s="63"/>
      <c r="Q98" s="63"/>
      <c r="R98" s="63"/>
      <c r="S98" s="63"/>
      <c r="T98" s="63"/>
      <c r="U98" s="63"/>
      <c r="V98" s="63"/>
      <c r="W98" s="63"/>
      <c r="X98" s="63"/>
      <c r="Y98" s="63"/>
      <c r="Z98" s="63"/>
      <c r="AA98" s="63"/>
      <c r="AB98" s="63"/>
      <c r="AC98" s="63"/>
      <c r="AD98" s="63"/>
    </row>
    <row r="99" spans="1:30" hidden="1">
      <c r="O99" s="63"/>
      <c r="P99" s="63"/>
      <c r="Q99" s="63"/>
      <c r="R99" s="63"/>
      <c r="S99" s="63"/>
      <c r="T99" s="63"/>
      <c r="U99" s="63"/>
      <c r="V99" s="63"/>
      <c r="W99" s="63"/>
      <c r="X99" s="63"/>
      <c r="Y99" s="63"/>
      <c r="Z99" s="63"/>
      <c r="AA99" s="63"/>
      <c r="AB99" s="63"/>
      <c r="AC99" s="63"/>
      <c r="AD99" s="63"/>
    </row>
    <row r="100" spans="1:30" hidden="1">
      <c r="D100" s="63"/>
      <c r="E100" s="63"/>
      <c r="F100" s="63"/>
      <c r="G100" s="63"/>
      <c r="H100" s="63"/>
      <c r="I100" s="415"/>
      <c r="J100" s="234" t="s">
        <v>474</v>
      </c>
      <c r="K100" s="63"/>
      <c r="L100" s="63"/>
      <c r="O100" s="63"/>
      <c r="P100" s="63"/>
      <c r="Q100" s="63"/>
      <c r="R100" s="63"/>
      <c r="S100" s="63"/>
      <c r="T100" s="63"/>
      <c r="U100" s="63"/>
      <c r="V100" s="63"/>
      <c r="W100" s="63"/>
      <c r="X100" s="63"/>
      <c r="Y100" s="63"/>
      <c r="Z100" s="63"/>
      <c r="AA100" s="63"/>
      <c r="AB100" s="63"/>
      <c r="AC100" s="63"/>
      <c r="AD100" s="63"/>
    </row>
    <row r="101" spans="1:30" ht="15.6" hidden="1">
      <c r="B101" s="63"/>
      <c r="C101" s="116" t="s">
        <v>470</v>
      </c>
      <c r="D101" s="63"/>
      <c r="E101" s="63"/>
      <c r="F101" s="63"/>
      <c r="G101" s="63"/>
      <c r="H101" s="63"/>
      <c r="J101" s="842">
        <f>IF(J85="","",J85)</f>
        <v>0.19</v>
      </c>
      <c r="K101" s="63"/>
      <c r="L101" s="63"/>
      <c r="O101" s="63"/>
      <c r="P101" s="63"/>
      <c r="Q101" s="63"/>
      <c r="R101" s="63"/>
      <c r="S101" s="63"/>
      <c r="T101" s="63"/>
      <c r="U101" s="63"/>
      <c r="V101" s="63"/>
      <c r="W101" s="63"/>
      <c r="X101" s="63"/>
      <c r="Y101" s="63"/>
      <c r="Z101" s="63"/>
      <c r="AA101" s="63"/>
      <c r="AB101" s="63"/>
      <c r="AC101" s="63"/>
      <c r="AD101" s="63"/>
    </row>
    <row r="102" spans="1:30" hidden="1">
      <c r="A102" s="63"/>
      <c r="B102" s="63"/>
      <c r="C102" s="63"/>
      <c r="D102" s="63"/>
      <c r="E102" s="63"/>
      <c r="F102" s="63"/>
      <c r="G102" s="63"/>
      <c r="H102" s="961" t="s">
        <v>472</v>
      </c>
      <c r="I102" s="966"/>
      <c r="J102" s="1233" t="s">
        <v>473</v>
      </c>
      <c r="K102" s="1310"/>
      <c r="O102" s="63"/>
      <c r="P102" s="63"/>
      <c r="Q102" s="63"/>
      <c r="R102" s="63"/>
      <c r="S102" s="63"/>
      <c r="T102" s="63"/>
      <c r="U102" s="63"/>
      <c r="V102" s="63"/>
      <c r="W102" s="63"/>
      <c r="X102" s="63"/>
      <c r="Y102" s="63"/>
      <c r="Z102" s="63"/>
      <c r="AA102" s="63"/>
      <c r="AB102" s="63"/>
      <c r="AC102" s="63"/>
      <c r="AD102" s="63"/>
    </row>
    <row r="103" spans="1:30" hidden="1">
      <c r="A103" s="63"/>
      <c r="B103" s="63"/>
      <c r="C103" s="1261" t="s">
        <v>471</v>
      </c>
      <c r="D103" s="1341"/>
      <c r="E103" s="1341"/>
      <c r="F103" s="1341"/>
      <c r="G103" s="1262" t="s">
        <v>391</v>
      </c>
      <c r="H103" s="1335" t="str">
        <f>IF(J103="","",J103/(1+J101))</f>
        <v/>
      </c>
      <c r="I103" s="1339" t="s">
        <v>29</v>
      </c>
      <c r="J103" s="1342"/>
      <c r="K103" s="1337" t="s">
        <v>29</v>
      </c>
      <c r="M103" s="415"/>
      <c r="N103" s="63"/>
      <c r="O103" s="63"/>
      <c r="P103" s="63"/>
      <c r="Q103" s="63"/>
      <c r="R103" s="63"/>
      <c r="S103" s="63"/>
      <c r="T103" s="63"/>
      <c r="U103" s="63"/>
      <c r="V103" s="63"/>
      <c r="W103" s="63"/>
      <c r="X103" s="63"/>
      <c r="Y103" s="63"/>
      <c r="Z103" s="63"/>
      <c r="AA103" s="63"/>
      <c r="AB103" s="63"/>
      <c r="AC103" s="63"/>
      <c r="AD103" s="63"/>
    </row>
    <row r="104" spans="1:30" ht="12.75" hidden="1" customHeight="1">
      <c r="A104" s="63"/>
      <c r="B104" s="63"/>
      <c r="C104" s="1263"/>
      <c r="D104" s="1264"/>
      <c r="E104" s="1264"/>
      <c r="F104" s="1264"/>
      <c r="G104" s="1268"/>
      <c r="H104" s="1336"/>
      <c r="I104" s="1340"/>
      <c r="J104" s="1343"/>
      <c r="K104" s="1338"/>
      <c r="M104" s="415"/>
      <c r="N104" s="63"/>
      <c r="O104" s="63"/>
      <c r="P104" s="63"/>
      <c r="Q104" s="63"/>
      <c r="R104" s="63"/>
      <c r="S104" s="63"/>
      <c r="T104" s="63"/>
      <c r="U104" s="63"/>
      <c r="V104" s="63"/>
      <c r="W104" s="63"/>
      <c r="X104" s="63"/>
      <c r="Y104" s="63"/>
      <c r="Z104" s="63"/>
      <c r="AA104" s="63"/>
      <c r="AB104" s="63"/>
      <c r="AC104" s="63"/>
      <c r="AD104" s="63"/>
    </row>
    <row r="105" spans="1:30" hidden="1">
      <c r="A105" s="63"/>
      <c r="B105" s="63"/>
      <c r="C105" s="63"/>
      <c r="G105" s="63"/>
      <c r="H105" s="63"/>
      <c r="I105" s="415"/>
      <c r="J105" s="63"/>
      <c r="K105" s="63"/>
      <c r="L105" s="63"/>
      <c r="M105" s="415"/>
      <c r="N105" s="63"/>
      <c r="O105" s="63"/>
      <c r="P105" s="63"/>
      <c r="Q105" s="551"/>
      <c r="R105" s="63"/>
      <c r="S105" s="63"/>
      <c r="T105" s="63"/>
      <c r="U105" s="63"/>
      <c r="V105" s="63"/>
      <c r="W105" s="63"/>
      <c r="X105" s="63"/>
      <c r="Y105" s="63"/>
      <c r="Z105" s="63"/>
      <c r="AA105" s="63"/>
      <c r="AB105" s="63"/>
      <c r="AC105" s="63"/>
      <c r="AD105" s="63"/>
    </row>
    <row r="106" spans="1:30">
      <c r="A106" s="63"/>
      <c r="B106" s="63"/>
      <c r="C106" s="63"/>
      <c r="D106" s="63"/>
      <c r="E106" s="63"/>
      <c r="F106" s="63"/>
      <c r="G106" s="63"/>
      <c r="H106" s="63"/>
      <c r="I106" s="415"/>
      <c r="J106" s="63"/>
      <c r="K106" s="63"/>
      <c r="L106" s="63"/>
      <c r="M106" s="415"/>
      <c r="N106" s="63"/>
      <c r="O106" s="63"/>
      <c r="P106" s="63"/>
      <c r="Q106" s="63"/>
      <c r="R106" s="63"/>
      <c r="S106" s="63"/>
      <c r="T106" s="63"/>
      <c r="U106" s="63"/>
      <c r="V106" s="63"/>
      <c r="W106" s="63"/>
      <c r="X106" s="63"/>
      <c r="Y106" s="63"/>
      <c r="Z106" s="63"/>
      <c r="AA106" s="63"/>
      <c r="AB106" s="63"/>
      <c r="AC106" s="63"/>
      <c r="AD106" s="63"/>
    </row>
    <row r="107" spans="1:30">
      <c r="A107" s="63"/>
      <c r="B107" s="63"/>
      <c r="C107" s="63"/>
      <c r="D107" s="63"/>
      <c r="E107" s="63"/>
      <c r="F107" s="63"/>
      <c r="G107" s="63"/>
      <c r="H107" s="63"/>
      <c r="I107" s="415"/>
      <c r="J107" s="63"/>
      <c r="K107" s="63"/>
      <c r="L107" s="63"/>
      <c r="M107" s="415"/>
      <c r="N107" s="63"/>
      <c r="O107" s="63"/>
      <c r="P107" s="63"/>
      <c r="Q107" s="63"/>
      <c r="R107" s="63"/>
      <c r="S107" s="63"/>
      <c r="T107" s="63"/>
      <c r="U107" s="63"/>
      <c r="V107" s="63"/>
      <c r="W107" s="63"/>
      <c r="X107" s="63"/>
      <c r="Y107" s="63"/>
      <c r="Z107" s="63"/>
      <c r="AA107" s="63"/>
      <c r="AB107" s="63"/>
      <c r="AC107" s="63"/>
      <c r="AD107" s="63"/>
    </row>
    <row r="108" spans="1:30">
      <c r="A108" s="63"/>
      <c r="B108" s="63"/>
      <c r="C108" s="63"/>
      <c r="D108" s="63"/>
      <c r="E108" s="63"/>
      <c r="F108" s="63"/>
      <c r="G108" s="63"/>
      <c r="H108" s="63"/>
      <c r="I108" s="415"/>
      <c r="J108" s="63"/>
      <c r="K108" s="63"/>
      <c r="L108" s="63"/>
      <c r="M108" s="415"/>
      <c r="N108" s="63"/>
      <c r="O108" s="63"/>
      <c r="P108" s="63"/>
      <c r="Q108" s="63"/>
      <c r="R108" s="63"/>
      <c r="S108" s="63"/>
      <c r="T108" s="63"/>
      <c r="U108" s="63"/>
      <c r="V108" s="63"/>
      <c r="W108" s="63"/>
      <c r="X108" s="63"/>
      <c r="Y108" s="63"/>
      <c r="Z108" s="63"/>
      <c r="AA108" s="63"/>
      <c r="AB108" s="63"/>
      <c r="AC108" s="63"/>
      <c r="AD108" s="63"/>
    </row>
    <row r="109" spans="1:30">
      <c r="A109" s="63"/>
      <c r="B109" s="63"/>
      <c r="C109" s="63"/>
      <c r="D109" s="63"/>
      <c r="E109" s="63"/>
      <c r="F109" s="63"/>
      <c r="G109" s="63"/>
      <c r="H109" s="63"/>
      <c r="I109" s="415"/>
      <c r="J109" s="63"/>
      <c r="M109" s="415"/>
      <c r="N109" s="63"/>
      <c r="O109" s="63"/>
      <c r="P109" s="63"/>
      <c r="Q109" s="63"/>
      <c r="R109" s="63"/>
      <c r="S109" s="63"/>
      <c r="T109" s="63"/>
      <c r="U109" s="63"/>
      <c r="V109" s="63"/>
      <c r="W109" s="63"/>
      <c r="X109" s="63"/>
      <c r="Y109" s="63"/>
      <c r="Z109" s="63"/>
      <c r="AA109" s="63"/>
      <c r="AB109" s="63"/>
      <c r="AC109" s="63"/>
      <c r="AD109" s="63"/>
    </row>
    <row r="110" spans="1:30">
      <c r="A110" s="63"/>
      <c r="B110" s="63"/>
      <c r="C110" s="63"/>
      <c r="D110" s="63"/>
      <c r="E110" s="63"/>
      <c r="F110" s="63"/>
      <c r="G110" s="63"/>
      <c r="H110" s="63"/>
      <c r="I110" s="415"/>
      <c r="J110" s="63"/>
      <c r="K110" s="63"/>
      <c r="L110" s="63"/>
      <c r="M110" s="415"/>
      <c r="N110" s="63"/>
      <c r="O110" s="63"/>
      <c r="P110" s="63"/>
      <c r="Q110" s="63"/>
      <c r="R110" s="63"/>
      <c r="S110" s="63"/>
      <c r="T110" s="63"/>
      <c r="U110" s="63"/>
      <c r="V110" s="63"/>
      <c r="W110" s="63"/>
      <c r="X110" s="63"/>
      <c r="Y110" s="63"/>
      <c r="Z110" s="63"/>
      <c r="AA110" s="63"/>
      <c r="AB110" s="63"/>
      <c r="AC110" s="63"/>
      <c r="AD110" s="63"/>
    </row>
    <row r="111" spans="1:30">
      <c r="A111" s="63"/>
      <c r="B111" s="63"/>
      <c r="C111" s="63"/>
      <c r="D111" s="63"/>
      <c r="E111" s="63"/>
      <c r="F111" s="63"/>
      <c r="G111" s="63"/>
      <c r="H111" s="63"/>
      <c r="I111" s="415"/>
      <c r="J111" s="63"/>
      <c r="M111" s="415"/>
      <c r="N111" s="63"/>
      <c r="O111" s="63"/>
      <c r="P111" s="63"/>
      <c r="Q111" s="63"/>
      <c r="R111" s="63"/>
      <c r="S111" s="63"/>
      <c r="T111" s="63"/>
      <c r="U111" s="63"/>
      <c r="V111" s="63"/>
      <c r="W111" s="63"/>
      <c r="X111" s="63"/>
      <c r="Y111" s="63"/>
      <c r="Z111" s="63"/>
      <c r="AA111" s="63"/>
      <c r="AB111" s="63"/>
      <c r="AC111" s="63"/>
      <c r="AD111" s="63"/>
    </row>
    <row r="112" spans="1:30">
      <c r="A112" s="63"/>
      <c r="B112" s="63"/>
      <c r="C112" s="63"/>
      <c r="D112" s="63"/>
      <c r="E112" s="63"/>
      <c r="F112" s="63"/>
      <c r="G112" s="63"/>
      <c r="H112" s="63"/>
      <c r="I112" s="415"/>
      <c r="J112" s="63"/>
      <c r="K112" s="63"/>
      <c r="L112" s="63"/>
      <c r="M112" s="415"/>
      <c r="N112" s="63"/>
      <c r="O112" s="63"/>
      <c r="P112" s="63"/>
      <c r="Q112" s="63"/>
      <c r="R112" s="63"/>
      <c r="S112" s="63"/>
      <c r="T112" s="63"/>
      <c r="U112" s="63"/>
      <c r="V112" s="63"/>
      <c r="W112" s="63"/>
      <c r="X112" s="63"/>
      <c r="Y112" s="63"/>
      <c r="Z112" s="63"/>
      <c r="AA112" s="63"/>
      <c r="AB112" s="63"/>
      <c r="AC112" s="63"/>
      <c r="AD112" s="63"/>
    </row>
    <row r="113" spans="1:37">
      <c r="A113" s="63"/>
      <c r="B113" s="63"/>
      <c r="C113" s="63"/>
      <c r="D113" s="63"/>
      <c r="E113" s="63"/>
      <c r="F113" s="63"/>
      <c r="G113" s="63"/>
      <c r="H113" s="63"/>
      <c r="I113" s="415"/>
      <c r="J113" s="63"/>
      <c r="M113" s="415"/>
      <c r="N113" s="63"/>
      <c r="O113" s="63"/>
      <c r="P113" s="63"/>
      <c r="Q113" s="63"/>
      <c r="R113" s="63"/>
      <c r="S113" s="63"/>
      <c r="T113" s="63"/>
      <c r="U113" s="63"/>
      <c r="V113" s="63"/>
      <c r="W113" s="63"/>
      <c r="X113" s="63"/>
      <c r="Y113" s="63"/>
      <c r="Z113" s="63"/>
      <c r="AA113" s="63"/>
      <c r="AB113" s="63"/>
      <c r="AC113" s="63"/>
      <c r="AD113" s="63"/>
    </row>
    <row r="114" spans="1:37">
      <c r="A114" s="63"/>
      <c r="B114" s="63"/>
      <c r="C114" s="63"/>
      <c r="D114" s="63"/>
      <c r="E114" s="63"/>
      <c r="F114" s="63"/>
      <c r="G114" s="63"/>
      <c r="H114" s="63"/>
      <c r="I114" s="415"/>
      <c r="J114" s="63"/>
      <c r="K114" s="63"/>
      <c r="L114" s="63"/>
      <c r="M114" s="415"/>
      <c r="N114" s="63"/>
      <c r="O114" s="63"/>
      <c r="P114" s="63"/>
      <c r="Q114" s="63"/>
      <c r="R114" s="63"/>
      <c r="S114" s="63"/>
      <c r="T114" s="63"/>
      <c r="U114" s="63"/>
      <c r="V114" s="63"/>
      <c r="W114" s="63"/>
      <c r="X114" s="63"/>
      <c r="Y114" s="63"/>
      <c r="Z114" s="63"/>
      <c r="AA114" s="63"/>
      <c r="AB114" s="63"/>
      <c r="AC114" s="63"/>
      <c r="AD114" s="63"/>
    </row>
    <row r="115" spans="1:37">
      <c r="A115" s="63"/>
      <c r="B115" s="63"/>
      <c r="C115" s="63"/>
      <c r="D115" s="63"/>
      <c r="E115" s="63"/>
      <c r="F115" s="63"/>
      <c r="G115" s="63"/>
      <c r="H115" s="63"/>
      <c r="I115" s="415"/>
      <c r="J115" s="63"/>
      <c r="M115" s="415"/>
      <c r="N115" s="63"/>
      <c r="O115" s="63"/>
      <c r="P115" s="63"/>
      <c r="Q115" s="63"/>
      <c r="R115" s="63"/>
      <c r="S115" s="63"/>
      <c r="T115" s="63"/>
      <c r="U115" s="63"/>
      <c r="V115" s="63"/>
      <c r="W115" s="63"/>
      <c r="X115" s="63"/>
      <c r="Y115" s="63"/>
      <c r="Z115" s="63"/>
      <c r="AA115" s="63"/>
      <c r="AB115" s="63"/>
      <c r="AC115" s="63"/>
      <c r="AD115" s="63"/>
    </row>
    <row r="116" spans="1:37">
      <c r="A116" s="63"/>
      <c r="B116" s="63"/>
      <c r="C116" s="63"/>
      <c r="D116" s="63"/>
      <c r="E116" s="63"/>
      <c r="F116" s="63"/>
      <c r="G116" s="63"/>
      <c r="H116" s="63"/>
      <c r="I116" s="415"/>
      <c r="J116" s="63"/>
      <c r="K116" s="63"/>
      <c r="L116" s="63"/>
      <c r="M116" s="415"/>
      <c r="N116" s="63"/>
      <c r="O116" s="63"/>
      <c r="P116" s="63"/>
      <c r="Q116" s="63"/>
      <c r="R116" s="63"/>
      <c r="S116" s="63"/>
      <c r="T116" s="63"/>
      <c r="U116" s="63"/>
      <c r="V116" s="63"/>
      <c r="W116" s="63"/>
      <c r="X116" s="63"/>
      <c r="Y116" s="63"/>
      <c r="Z116" s="63"/>
      <c r="AA116" s="63"/>
      <c r="AB116" s="63"/>
      <c r="AC116" s="63"/>
      <c r="AD116" s="63"/>
    </row>
    <row r="117" spans="1:37">
      <c r="A117" s="63"/>
      <c r="B117" s="63"/>
      <c r="C117" s="63"/>
      <c r="D117" s="63"/>
      <c r="E117" s="63"/>
      <c r="F117" s="63"/>
      <c r="G117" s="63"/>
      <c r="H117" s="63"/>
      <c r="I117" s="415"/>
      <c r="J117" s="63"/>
      <c r="K117" s="63"/>
      <c r="L117" s="63"/>
      <c r="M117" s="415"/>
      <c r="N117" s="63"/>
      <c r="O117" s="63"/>
      <c r="P117" s="63"/>
      <c r="Q117" s="63"/>
      <c r="R117" s="63"/>
      <c r="S117" s="63"/>
      <c r="T117" s="63"/>
      <c r="U117" s="63"/>
      <c r="V117" s="63"/>
      <c r="W117" s="63"/>
      <c r="X117" s="63"/>
      <c r="Y117" s="63"/>
      <c r="Z117" s="63"/>
      <c r="AA117" s="63"/>
      <c r="AB117" s="63"/>
      <c r="AC117" s="63"/>
      <c r="AD117" s="63"/>
    </row>
    <row r="118" spans="1:37">
      <c r="A118" s="63"/>
      <c r="B118" s="63"/>
      <c r="C118" s="63"/>
      <c r="D118" s="63"/>
      <c r="E118" s="63"/>
      <c r="F118" s="63"/>
      <c r="G118" s="63"/>
      <c r="H118" s="63"/>
      <c r="I118" s="415"/>
      <c r="J118" s="63"/>
      <c r="K118" s="63"/>
      <c r="L118" s="63"/>
      <c r="M118" s="415"/>
      <c r="N118" s="63"/>
      <c r="O118" s="63"/>
      <c r="P118" s="63"/>
      <c r="Q118" s="63"/>
      <c r="R118" s="63"/>
      <c r="S118" s="63"/>
      <c r="T118" s="63"/>
      <c r="U118" s="63"/>
      <c r="V118" s="63"/>
      <c r="W118" s="63"/>
      <c r="X118" s="63"/>
      <c r="Y118" s="63"/>
      <c r="Z118" s="63"/>
      <c r="AA118" s="63"/>
      <c r="AB118" s="63"/>
      <c r="AC118" s="63"/>
      <c r="AD118" s="63"/>
    </row>
    <row r="119" spans="1:37" ht="15.6">
      <c r="A119" s="63"/>
      <c r="B119" s="63"/>
      <c r="C119" s="63"/>
      <c r="D119" s="63"/>
      <c r="E119" s="63"/>
      <c r="F119" s="63"/>
      <c r="G119" s="63"/>
      <c r="H119" s="63"/>
      <c r="I119" s="415"/>
      <c r="J119" s="63"/>
      <c r="K119" s="63"/>
      <c r="L119" s="63"/>
      <c r="M119" s="415"/>
      <c r="N119" s="63"/>
      <c r="O119" s="63"/>
      <c r="P119" s="63"/>
      <c r="Q119" s="63"/>
      <c r="R119" s="63"/>
      <c r="S119" s="63"/>
      <c r="T119" s="63"/>
      <c r="U119" s="63"/>
      <c r="V119" s="63"/>
      <c r="W119" s="63"/>
      <c r="X119" s="63"/>
      <c r="Y119" s="63"/>
      <c r="Z119" s="63"/>
      <c r="AA119" s="63"/>
      <c r="AB119" s="63"/>
      <c r="AC119" s="63"/>
      <c r="AD119" s="63"/>
      <c r="AK119" s="47"/>
    </row>
    <row r="120" spans="1:37">
      <c r="A120" s="63"/>
      <c r="B120" s="63"/>
      <c r="C120" s="63"/>
      <c r="D120" s="63"/>
      <c r="E120" s="63"/>
      <c r="F120" s="63"/>
      <c r="G120" s="63"/>
      <c r="H120" s="63"/>
      <c r="I120" s="415"/>
      <c r="J120" s="63"/>
      <c r="K120" s="63"/>
      <c r="L120" s="63"/>
      <c r="M120" s="415"/>
      <c r="N120" s="63"/>
      <c r="O120" s="63"/>
      <c r="P120" s="63"/>
      <c r="Q120" s="63"/>
      <c r="R120" s="63"/>
      <c r="S120" s="63"/>
      <c r="T120" s="63"/>
      <c r="U120" s="63"/>
      <c r="V120" s="63"/>
      <c r="W120" s="63"/>
      <c r="X120" s="63"/>
      <c r="Y120" s="63"/>
      <c r="Z120" s="63"/>
      <c r="AA120" s="63"/>
      <c r="AB120" s="63"/>
      <c r="AC120" s="63"/>
      <c r="AD120" s="63"/>
    </row>
    <row r="121" spans="1:37">
      <c r="A121" s="63"/>
      <c r="B121" s="63"/>
      <c r="C121" s="63"/>
      <c r="D121" s="63"/>
      <c r="E121" s="63"/>
      <c r="F121" s="63"/>
      <c r="G121" s="63"/>
      <c r="H121" s="63"/>
      <c r="I121" s="415"/>
      <c r="J121" s="63"/>
      <c r="K121" s="63"/>
      <c r="L121" s="63"/>
      <c r="M121" s="415"/>
      <c r="N121" s="63"/>
      <c r="O121" s="63"/>
      <c r="P121" s="63"/>
      <c r="Q121" s="63"/>
      <c r="R121" s="63"/>
      <c r="S121" s="63"/>
      <c r="T121" s="63"/>
      <c r="U121" s="63"/>
      <c r="V121" s="63"/>
      <c r="W121" s="63"/>
      <c r="X121" s="63"/>
      <c r="Y121" s="63"/>
      <c r="Z121" s="63"/>
      <c r="AA121" s="63"/>
      <c r="AB121" s="63"/>
      <c r="AC121" s="63"/>
      <c r="AD121" s="63"/>
    </row>
    <row r="122" spans="1:37">
      <c r="A122" s="63"/>
      <c r="B122" s="63"/>
      <c r="C122" s="63"/>
      <c r="D122" s="63"/>
      <c r="E122" s="63"/>
      <c r="F122" s="63"/>
      <c r="G122" s="63"/>
      <c r="H122" s="63"/>
      <c r="I122" s="415"/>
      <c r="J122" s="63"/>
      <c r="K122" s="63"/>
      <c r="L122" s="63"/>
      <c r="M122" s="415"/>
      <c r="N122" s="63"/>
      <c r="O122" s="63"/>
      <c r="P122" s="63"/>
      <c r="Q122" s="63"/>
      <c r="R122" s="63"/>
      <c r="S122" s="63"/>
      <c r="T122" s="63"/>
      <c r="U122" s="63"/>
      <c r="V122" s="63"/>
      <c r="W122" s="63"/>
      <c r="X122" s="63"/>
      <c r="Y122" s="63"/>
      <c r="Z122" s="63"/>
      <c r="AA122" s="63"/>
      <c r="AB122" s="63"/>
      <c r="AC122" s="63"/>
      <c r="AD122" s="63"/>
    </row>
    <row r="123" spans="1:37" ht="15.6">
      <c r="A123" s="63"/>
      <c r="B123" s="63"/>
      <c r="C123" s="63"/>
      <c r="D123" s="63"/>
      <c r="E123" s="63"/>
      <c r="F123" s="63"/>
      <c r="G123" s="63"/>
      <c r="H123" s="63"/>
      <c r="I123" s="415"/>
      <c r="J123" s="63"/>
      <c r="K123" s="63"/>
      <c r="L123" s="63"/>
      <c r="M123" s="415"/>
      <c r="N123" s="63"/>
      <c r="O123" s="63"/>
      <c r="P123" s="63"/>
      <c r="Q123" s="63"/>
      <c r="R123" s="63"/>
      <c r="S123" s="63"/>
      <c r="T123" s="63"/>
      <c r="U123" s="63"/>
      <c r="V123" s="63"/>
      <c r="W123" s="63"/>
      <c r="X123" s="63"/>
      <c r="Y123" s="63"/>
      <c r="Z123" s="63"/>
      <c r="AA123" s="63"/>
      <c r="AB123" s="63"/>
      <c r="AC123" s="63"/>
      <c r="AD123" s="63"/>
      <c r="AK123" s="47"/>
    </row>
    <row r="124" spans="1:37">
      <c r="A124" s="63"/>
      <c r="B124" s="63"/>
      <c r="C124" s="63"/>
      <c r="D124" s="63"/>
      <c r="E124" s="63"/>
      <c r="F124" s="63"/>
      <c r="G124" s="63"/>
      <c r="H124" s="63"/>
      <c r="I124" s="415"/>
      <c r="J124" s="63"/>
      <c r="K124" s="63"/>
      <c r="L124" s="63"/>
      <c r="M124" s="415"/>
      <c r="N124" s="63"/>
      <c r="O124" s="63"/>
      <c r="P124" s="63"/>
      <c r="Q124" s="63"/>
      <c r="R124" s="63"/>
      <c r="S124" s="63"/>
      <c r="T124" s="63"/>
      <c r="U124" s="63"/>
      <c r="V124" s="63"/>
      <c r="W124" s="63"/>
      <c r="X124" s="63"/>
      <c r="Y124" s="63"/>
      <c r="Z124" s="63"/>
      <c r="AA124" s="63"/>
      <c r="AB124" s="63"/>
      <c r="AC124" s="63"/>
      <c r="AD124" s="63"/>
    </row>
    <row r="125" spans="1:37">
      <c r="A125" s="63"/>
      <c r="B125" s="63"/>
      <c r="C125" s="63"/>
      <c r="D125" s="63"/>
      <c r="E125" s="63"/>
      <c r="F125" s="63"/>
      <c r="G125" s="63"/>
      <c r="H125" s="63"/>
      <c r="I125" s="415"/>
      <c r="J125" s="63"/>
      <c r="K125" s="63"/>
      <c r="L125" s="63"/>
      <c r="M125" s="415"/>
      <c r="N125" s="63"/>
      <c r="O125" s="63"/>
      <c r="P125" s="63"/>
      <c r="Q125" s="63"/>
      <c r="R125" s="63"/>
      <c r="S125" s="63"/>
      <c r="T125" s="63"/>
      <c r="U125" s="63"/>
      <c r="V125" s="63"/>
      <c r="W125" s="63"/>
      <c r="X125" s="63"/>
      <c r="Y125" s="63"/>
      <c r="Z125" s="63"/>
      <c r="AA125" s="63"/>
      <c r="AB125" s="63"/>
      <c r="AC125" s="63"/>
      <c r="AD125" s="63"/>
    </row>
    <row r="126" spans="1:37">
      <c r="A126" s="63"/>
      <c r="B126" s="63"/>
      <c r="C126" s="63"/>
      <c r="D126" s="63"/>
      <c r="E126" s="63"/>
      <c r="F126" s="63"/>
      <c r="G126" s="63"/>
      <c r="H126" s="63"/>
      <c r="I126" s="415"/>
      <c r="J126" s="63"/>
      <c r="K126" s="63"/>
      <c r="L126" s="63"/>
      <c r="M126" s="415"/>
      <c r="N126" s="63"/>
      <c r="O126" s="63"/>
      <c r="P126" s="63"/>
      <c r="Q126" s="63"/>
      <c r="R126" s="63"/>
      <c r="S126" s="63"/>
      <c r="T126" s="63"/>
      <c r="U126" s="63"/>
      <c r="V126" s="63"/>
      <c r="W126" s="63"/>
      <c r="X126" s="63"/>
      <c r="Y126" s="63"/>
      <c r="Z126" s="63"/>
      <c r="AA126" s="63"/>
      <c r="AB126" s="63"/>
      <c r="AC126" s="63"/>
      <c r="AD126" s="63"/>
    </row>
    <row r="127" spans="1:37" ht="15.6">
      <c r="A127" s="63"/>
      <c r="B127" s="63"/>
      <c r="C127" s="63"/>
      <c r="D127" s="63"/>
      <c r="E127" s="63"/>
      <c r="F127" s="63"/>
      <c r="G127" s="63"/>
      <c r="H127" s="63"/>
      <c r="I127" s="415"/>
      <c r="J127" s="63"/>
      <c r="K127" s="63"/>
      <c r="L127" s="63"/>
      <c r="M127" s="415"/>
      <c r="N127" s="63"/>
      <c r="O127" s="63"/>
      <c r="P127" s="63"/>
      <c r="Q127" s="63"/>
      <c r="R127" s="63"/>
      <c r="S127" s="63"/>
      <c r="T127" s="63"/>
      <c r="U127" s="63"/>
      <c r="V127" s="63"/>
      <c r="W127" s="63"/>
      <c r="X127" s="63"/>
      <c r="Y127" s="63"/>
      <c r="Z127" s="63"/>
      <c r="AA127" s="63"/>
      <c r="AB127" s="63"/>
      <c r="AC127" s="63"/>
      <c r="AD127" s="63"/>
      <c r="AK127" s="47"/>
    </row>
    <row r="128" spans="1:37">
      <c r="A128" s="63"/>
      <c r="B128" s="63"/>
      <c r="C128" s="63"/>
      <c r="D128" s="63"/>
      <c r="E128" s="63"/>
      <c r="F128" s="63"/>
      <c r="G128" s="63"/>
      <c r="H128" s="63"/>
      <c r="I128" s="415"/>
      <c r="J128" s="63"/>
      <c r="K128" s="63"/>
      <c r="L128" s="63"/>
      <c r="M128" s="415"/>
      <c r="N128" s="63"/>
      <c r="O128" s="63"/>
      <c r="P128" s="63"/>
      <c r="Q128" s="63"/>
      <c r="R128" s="63"/>
      <c r="S128" s="63"/>
      <c r="T128" s="63"/>
      <c r="U128" s="63"/>
      <c r="V128" s="63"/>
      <c r="W128" s="63"/>
      <c r="X128" s="63"/>
      <c r="Y128" s="63"/>
      <c r="Z128" s="63"/>
      <c r="AA128" s="63"/>
      <c r="AB128" s="63"/>
      <c r="AC128" s="63"/>
      <c r="AD128" s="63"/>
    </row>
    <row r="129" spans="1:37">
      <c r="A129" s="63"/>
      <c r="B129" s="63"/>
      <c r="C129" s="63"/>
      <c r="D129" s="63"/>
      <c r="E129" s="63"/>
      <c r="F129" s="63"/>
      <c r="G129" s="63"/>
      <c r="H129" s="63"/>
      <c r="I129" s="415"/>
      <c r="J129" s="63"/>
      <c r="K129" s="63"/>
      <c r="L129" s="63"/>
      <c r="M129" s="415"/>
      <c r="N129" s="63"/>
      <c r="O129" s="63"/>
      <c r="P129" s="63"/>
      <c r="Q129" s="63"/>
      <c r="R129" s="63"/>
      <c r="S129" s="63"/>
      <c r="T129" s="63"/>
      <c r="U129" s="63"/>
      <c r="V129" s="63"/>
      <c r="W129" s="63"/>
      <c r="X129" s="63"/>
      <c r="Y129" s="63"/>
      <c r="Z129" s="63"/>
      <c r="AA129" s="63"/>
      <c r="AB129" s="63"/>
      <c r="AC129" s="63"/>
      <c r="AD129" s="63"/>
    </row>
    <row r="130" spans="1:37">
      <c r="A130" s="63"/>
      <c r="B130" s="63"/>
      <c r="C130" s="63"/>
      <c r="D130" s="63"/>
      <c r="E130" s="63"/>
      <c r="F130" s="63"/>
      <c r="G130" s="63"/>
      <c r="H130" s="63"/>
      <c r="I130" s="415"/>
      <c r="J130" s="63"/>
      <c r="K130" s="63"/>
      <c r="L130" s="63"/>
      <c r="M130" s="415"/>
      <c r="N130" s="63"/>
      <c r="O130" s="63"/>
      <c r="P130" s="63"/>
      <c r="Q130" s="63"/>
      <c r="R130" s="63"/>
      <c r="S130" s="63"/>
      <c r="T130" s="63"/>
      <c r="U130" s="63"/>
      <c r="V130" s="63"/>
      <c r="W130" s="63"/>
      <c r="X130" s="63"/>
      <c r="Y130" s="63"/>
      <c r="Z130" s="63"/>
      <c r="AA130" s="63"/>
      <c r="AB130" s="63"/>
      <c r="AC130" s="63"/>
      <c r="AD130" s="63"/>
    </row>
    <row r="131" spans="1:37" ht="15.6">
      <c r="A131" s="63"/>
      <c r="B131" s="63"/>
      <c r="C131" s="63"/>
      <c r="D131" s="63"/>
      <c r="E131" s="63"/>
      <c r="F131" s="63"/>
      <c r="G131" s="63"/>
      <c r="H131" s="63"/>
      <c r="I131" s="415"/>
      <c r="J131" s="63"/>
      <c r="K131" s="63"/>
      <c r="L131" s="63"/>
      <c r="M131" s="415"/>
      <c r="N131" s="63"/>
      <c r="O131" s="63"/>
      <c r="P131" s="63"/>
      <c r="Q131" s="63"/>
      <c r="R131" s="63"/>
      <c r="S131" s="63"/>
      <c r="T131" s="63"/>
      <c r="U131" s="63"/>
      <c r="V131" s="63"/>
      <c r="W131" s="63"/>
      <c r="X131" s="63"/>
      <c r="Y131" s="63"/>
      <c r="Z131" s="63"/>
      <c r="AA131" s="63"/>
      <c r="AB131" s="63"/>
      <c r="AC131" s="63"/>
      <c r="AD131" s="63"/>
      <c r="AK131" s="47"/>
    </row>
    <row r="132" spans="1:37">
      <c r="A132" s="63"/>
      <c r="B132" s="63"/>
      <c r="C132" s="63"/>
      <c r="D132" s="63"/>
      <c r="E132" s="63"/>
      <c r="F132" s="63"/>
      <c r="G132" s="63"/>
      <c r="H132" s="63"/>
      <c r="I132" s="415"/>
      <c r="J132" s="63"/>
      <c r="K132" s="63"/>
      <c r="L132" s="63"/>
      <c r="M132" s="415"/>
      <c r="N132" s="63"/>
      <c r="O132" s="63"/>
      <c r="P132" s="63"/>
      <c r="Q132" s="63"/>
      <c r="R132" s="63"/>
      <c r="S132" s="63"/>
      <c r="T132" s="63"/>
      <c r="U132" s="63"/>
      <c r="V132" s="63"/>
      <c r="W132" s="63"/>
      <c r="X132" s="63"/>
      <c r="Y132" s="63"/>
      <c r="Z132" s="63"/>
      <c r="AA132" s="63"/>
      <c r="AB132" s="63"/>
      <c r="AC132" s="63"/>
      <c r="AD132" s="63"/>
    </row>
    <row r="133" spans="1:37">
      <c r="A133" s="63"/>
      <c r="B133" s="63"/>
      <c r="C133" s="63"/>
      <c r="D133" s="63"/>
      <c r="E133" s="63"/>
      <c r="F133" s="63"/>
      <c r="G133" s="63"/>
      <c r="H133" s="63"/>
      <c r="I133" s="415"/>
      <c r="J133" s="63"/>
      <c r="K133" s="63"/>
      <c r="L133" s="63"/>
      <c r="M133" s="415"/>
      <c r="N133" s="63"/>
      <c r="O133" s="63"/>
      <c r="P133" s="63"/>
      <c r="Q133" s="63"/>
      <c r="R133" s="63"/>
      <c r="S133" s="63"/>
      <c r="T133" s="63"/>
      <c r="U133" s="63"/>
      <c r="V133" s="63"/>
      <c r="W133" s="63"/>
      <c r="X133" s="63"/>
      <c r="Y133" s="63"/>
      <c r="Z133" s="63"/>
      <c r="AA133" s="63"/>
      <c r="AB133" s="63"/>
      <c r="AC133" s="63"/>
      <c r="AD133" s="63"/>
    </row>
    <row r="134" spans="1:37">
      <c r="A134" s="63"/>
      <c r="B134" s="63"/>
      <c r="C134" s="63"/>
      <c r="D134" s="63"/>
      <c r="E134" s="63"/>
      <c r="F134" s="63"/>
      <c r="G134" s="63"/>
      <c r="H134" s="63"/>
      <c r="I134" s="415"/>
      <c r="J134" s="63"/>
      <c r="K134" s="63"/>
      <c r="L134" s="63"/>
      <c r="M134" s="415"/>
      <c r="N134" s="63"/>
      <c r="O134" s="63"/>
      <c r="P134" s="63"/>
      <c r="Q134" s="63"/>
      <c r="R134" s="63"/>
      <c r="S134" s="63"/>
      <c r="T134" s="63"/>
      <c r="U134" s="63"/>
      <c r="V134" s="63"/>
      <c r="W134" s="63"/>
      <c r="X134" s="63"/>
      <c r="Y134" s="63"/>
      <c r="Z134" s="63"/>
      <c r="AA134" s="63"/>
      <c r="AB134" s="63"/>
      <c r="AC134" s="63"/>
      <c r="AD134" s="63"/>
    </row>
    <row r="135" spans="1:37" ht="15.6">
      <c r="A135" s="63"/>
      <c r="B135" s="63"/>
      <c r="C135" s="63"/>
      <c r="D135" s="63"/>
      <c r="E135" s="63"/>
      <c r="F135" s="63"/>
      <c r="G135" s="63"/>
      <c r="H135" s="63"/>
      <c r="I135" s="415"/>
      <c r="J135" s="63"/>
      <c r="K135" s="63"/>
      <c r="L135" s="63"/>
      <c r="M135" s="415"/>
      <c r="N135" s="63"/>
      <c r="O135" s="63"/>
      <c r="P135" s="63"/>
      <c r="Q135" s="63"/>
      <c r="R135" s="63"/>
      <c r="S135" s="63"/>
      <c r="T135" s="63"/>
      <c r="U135" s="63"/>
      <c r="V135" s="63"/>
      <c r="W135" s="63"/>
      <c r="X135" s="63"/>
      <c r="Y135" s="63"/>
      <c r="Z135" s="63"/>
      <c r="AA135" s="63"/>
      <c r="AB135" s="63"/>
      <c r="AC135" s="63"/>
      <c r="AD135" s="63"/>
      <c r="AK135" s="47"/>
    </row>
    <row r="136" spans="1:37">
      <c r="A136" s="63"/>
      <c r="B136" s="63"/>
      <c r="C136" s="63"/>
      <c r="D136" s="63"/>
      <c r="E136" s="63"/>
      <c r="F136" s="63"/>
      <c r="G136" s="63"/>
      <c r="H136" s="63"/>
      <c r="I136" s="415"/>
      <c r="J136" s="63"/>
      <c r="K136" s="63"/>
      <c r="L136" s="63"/>
      <c r="M136" s="415"/>
      <c r="N136" s="63"/>
      <c r="O136" s="63"/>
      <c r="P136" s="63"/>
      <c r="Q136" s="63"/>
      <c r="R136" s="63"/>
      <c r="S136" s="63"/>
      <c r="T136" s="63"/>
      <c r="U136" s="63"/>
      <c r="V136" s="63"/>
      <c r="W136" s="63"/>
      <c r="X136" s="63"/>
      <c r="Y136" s="63"/>
      <c r="Z136" s="63"/>
      <c r="AA136" s="63"/>
      <c r="AB136" s="63"/>
      <c r="AC136" s="63"/>
      <c r="AD136" s="63"/>
    </row>
    <row r="137" spans="1:37" ht="43.5" customHeight="1">
      <c r="A137" s="63"/>
      <c r="B137" s="63"/>
      <c r="C137" s="63"/>
      <c r="D137" s="63"/>
      <c r="E137" s="63"/>
      <c r="F137" s="63"/>
      <c r="G137" s="63"/>
      <c r="H137" s="63"/>
      <c r="I137" s="415"/>
      <c r="J137" s="63"/>
      <c r="K137" s="63"/>
      <c r="L137" s="63"/>
      <c r="M137" s="415"/>
      <c r="N137" s="63"/>
      <c r="O137" s="63"/>
      <c r="P137" s="63"/>
      <c r="Q137" s="63"/>
      <c r="R137" s="63"/>
      <c r="S137" s="63"/>
      <c r="T137" s="63"/>
      <c r="U137" s="63"/>
      <c r="V137" s="63"/>
      <c r="W137" s="63"/>
      <c r="X137" s="63"/>
      <c r="Y137" s="63"/>
      <c r="Z137" s="63"/>
      <c r="AA137" s="63"/>
      <c r="AB137" s="63"/>
      <c r="AC137" s="63"/>
      <c r="AD137" s="63"/>
    </row>
    <row r="138" spans="1:37">
      <c r="A138" s="63"/>
      <c r="B138" s="63"/>
      <c r="C138" s="63"/>
      <c r="D138" s="63"/>
      <c r="E138" s="63"/>
      <c r="F138" s="63"/>
      <c r="G138" s="63"/>
      <c r="H138" s="63"/>
      <c r="I138" s="415"/>
      <c r="J138" s="63"/>
      <c r="K138" s="63"/>
      <c r="L138" s="63"/>
      <c r="M138" s="415"/>
      <c r="N138" s="63"/>
      <c r="O138" s="63"/>
      <c r="P138" s="63"/>
      <c r="Q138" s="63"/>
      <c r="R138" s="63"/>
      <c r="S138" s="63"/>
      <c r="T138" s="63"/>
      <c r="U138" s="63"/>
      <c r="V138" s="63"/>
      <c r="W138" s="63"/>
      <c r="X138" s="63"/>
      <c r="Y138" s="63"/>
      <c r="Z138" s="63"/>
      <c r="AA138" s="63"/>
      <c r="AB138" s="63"/>
      <c r="AC138" s="63"/>
      <c r="AD138" s="63"/>
    </row>
    <row r="139" spans="1:37">
      <c r="A139" s="63"/>
      <c r="B139" s="63"/>
      <c r="C139" s="63"/>
      <c r="D139" s="63"/>
      <c r="E139" s="63"/>
      <c r="F139" s="63"/>
      <c r="G139" s="63"/>
      <c r="H139" s="63"/>
      <c r="I139" s="415"/>
      <c r="J139" s="63"/>
      <c r="K139" s="63"/>
      <c r="L139" s="63"/>
      <c r="M139" s="415"/>
      <c r="N139" s="63"/>
      <c r="O139" s="63"/>
      <c r="P139" s="63"/>
      <c r="Q139" s="63"/>
      <c r="R139" s="63"/>
      <c r="S139" s="63"/>
      <c r="T139" s="63"/>
      <c r="U139" s="63"/>
      <c r="V139" s="63"/>
      <c r="W139" s="63"/>
      <c r="X139" s="63"/>
      <c r="Y139" s="63"/>
      <c r="Z139" s="63"/>
      <c r="AA139" s="63"/>
      <c r="AB139" s="63"/>
      <c r="AC139" s="63"/>
      <c r="AD139" s="63"/>
    </row>
    <row r="140" spans="1:37">
      <c r="A140" s="63"/>
      <c r="B140" s="63"/>
      <c r="C140" s="63"/>
      <c r="D140" s="63"/>
      <c r="E140" s="63"/>
      <c r="F140" s="63"/>
      <c r="G140" s="63"/>
      <c r="H140" s="63"/>
      <c r="I140" s="415"/>
      <c r="J140" s="63"/>
      <c r="K140" s="63"/>
      <c r="L140" s="63"/>
      <c r="M140" s="415"/>
      <c r="N140" s="63"/>
      <c r="O140" s="63"/>
      <c r="P140" s="63"/>
      <c r="Q140" s="63"/>
      <c r="R140" s="63"/>
      <c r="S140" s="63"/>
      <c r="T140" s="63"/>
      <c r="U140" s="63"/>
      <c r="V140" s="63"/>
      <c r="W140" s="63"/>
      <c r="X140" s="63"/>
      <c r="Y140" s="63"/>
      <c r="Z140" s="63"/>
      <c r="AA140" s="63"/>
      <c r="AB140" s="63"/>
      <c r="AC140" s="63"/>
      <c r="AD140" s="63"/>
    </row>
    <row r="141" spans="1:37">
      <c r="A141" s="63"/>
      <c r="B141" s="63"/>
      <c r="C141" s="63"/>
      <c r="D141" s="63"/>
      <c r="E141" s="63"/>
      <c r="F141" s="63"/>
      <c r="G141" s="63"/>
      <c r="H141" s="63"/>
      <c r="I141" s="415"/>
      <c r="J141" s="63"/>
      <c r="K141" s="63"/>
      <c r="L141" s="63"/>
      <c r="M141" s="415"/>
      <c r="N141" s="63"/>
      <c r="O141" s="63"/>
      <c r="P141" s="63"/>
      <c r="Q141" s="63"/>
      <c r="R141" s="63"/>
      <c r="S141" s="63"/>
      <c r="T141" s="63"/>
      <c r="U141" s="63"/>
      <c r="V141" s="63"/>
      <c r="W141" s="63"/>
      <c r="X141" s="63"/>
      <c r="Y141" s="63"/>
      <c r="Z141" s="63"/>
      <c r="AA141" s="63"/>
      <c r="AB141" s="63"/>
      <c r="AC141" s="63"/>
      <c r="AD141" s="63"/>
    </row>
    <row r="142" spans="1:37">
      <c r="A142" s="63"/>
      <c r="B142" s="63"/>
      <c r="C142" s="63"/>
      <c r="D142" s="63"/>
      <c r="E142" s="63"/>
      <c r="F142" s="63"/>
      <c r="G142" s="63"/>
      <c r="H142" s="63"/>
      <c r="I142" s="415"/>
      <c r="J142" s="63"/>
      <c r="K142" s="63"/>
      <c r="L142" s="63"/>
      <c r="M142" s="415"/>
      <c r="N142" s="63"/>
      <c r="O142" s="63"/>
      <c r="P142" s="63"/>
      <c r="Q142" s="63"/>
      <c r="R142" s="63"/>
      <c r="S142" s="63"/>
      <c r="T142" s="63"/>
      <c r="U142" s="63"/>
      <c r="V142" s="63"/>
      <c r="W142" s="63"/>
      <c r="X142" s="63"/>
      <c r="Y142" s="63"/>
      <c r="Z142" s="63"/>
      <c r="AA142" s="63"/>
      <c r="AB142" s="63"/>
      <c r="AC142" s="63"/>
      <c r="AD142" s="63"/>
    </row>
    <row r="143" spans="1:37">
      <c r="A143" s="63"/>
      <c r="B143" s="63"/>
      <c r="C143" s="63"/>
      <c r="D143" s="63"/>
      <c r="E143" s="63"/>
      <c r="F143" s="63"/>
      <c r="G143" s="63"/>
      <c r="H143" s="63"/>
      <c r="I143" s="415"/>
      <c r="J143" s="63"/>
      <c r="K143" s="63"/>
      <c r="L143" s="63"/>
      <c r="M143" s="415"/>
      <c r="N143" s="63"/>
      <c r="O143" s="63"/>
      <c r="P143" s="63"/>
      <c r="Q143" s="63"/>
      <c r="R143" s="63"/>
      <c r="S143" s="63"/>
      <c r="T143" s="63"/>
      <c r="U143" s="63"/>
      <c r="V143" s="63"/>
      <c r="W143" s="63"/>
      <c r="X143" s="63"/>
      <c r="Y143" s="63"/>
      <c r="Z143" s="63"/>
      <c r="AA143" s="63"/>
      <c r="AB143" s="63"/>
      <c r="AC143" s="63"/>
      <c r="AD143" s="63"/>
    </row>
    <row r="144" spans="1:37">
      <c r="A144" s="63"/>
      <c r="B144" s="63"/>
      <c r="C144" s="63"/>
      <c r="D144" s="63"/>
      <c r="E144" s="63"/>
      <c r="F144" s="63"/>
      <c r="G144" s="63"/>
      <c r="H144" s="63"/>
      <c r="I144" s="415"/>
      <c r="J144" s="63"/>
      <c r="K144" s="63"/>
      <c r="L144" s="63"/>
      <c r="M144" s="415"/>
      <c r="N144" s="63"/>
      <c r="O144" s="63"/>
      <c r="P144" s="63"/>
      <c r="Q144" s="63"/>
      <c r="R144" s="63"/>
      <c r="S144" s="63"/>
      <c r="T144" s="63"/>
      <c r="U144" s="63"/>
      <c r="V144" s="63"/>
      <c r="W144" s="63"/>
      <c r="X144" s="63"/>
      <c r="Y144" s="63"/>
      <c r="Z144" s="63"/>
      <c r="AA144" s="63"/>
      <c r="AB144" s="63"/>
      <c r="AC144" s="63"/>
      <c r="AD144" s="63"/>
    </row>
    <row r="145" spans="1:30">
      <c r="A145" s="63"/>
      <c r="B145" s="63"/>
      <c r="C145" s="63"/>
      <c r="D145" s="63"/>
      <c r="E145" s="63"/>
      <c r="F145" s="63"/>
      <c r="G145" s="63"/>
      <c r="H145" s="63"/>
      <c r="I145" s="415"/>
      <c r="J145" s="63"/>
      <c r="K145" s="63"/>
      <c r="L145" s="63"/>
      <c r="M145" s="415"/>
      <c r="N145" s="63"/>
      <c r="O145" s="63"/>
      <c r="P145" s="63"/>
      <c r="Q145" s="63"/>
      <c r="R145" s="63"/>
      <c r="S145" s="63"/>
      <c r="T145" s="63"/>
      <c r="U145" s="63"/>
      <c r="V145" s="63"/>
      <c r="W145" s="63"/>
      <c r="X145" s="63"/>
      <c r="Y145" s="63"/>
      <c r="Z145" s="63"/>
      <c r="AA145" s="63"/>
      <c r="AB145" s="63"/>
      <c r="AC145" s="63"/>
      <c r="AD145" s="63"/>
    </row>
    <row r="146" spans="1:30">
      <c r="A146" s="63"/>
      <c r="B146" s="63"/>
      <c r="C146" s="63"/>
      <c r="D146" s="63"/>
      <c r="E146" s="63"/>
      <c r="F146" s="63"/>
      <c r="G146" s="63"/>
      <c r="H146" s="63"/>
      <c r="I146" s="415"/>
      <c r="J146" s="63"/>
      <c r="K146" s="63"/>
      <c r="L146" s="63"/>
      <c r="M146" s="415"/>
      <c r="N146" s="63"/>
      <c r="O146" s="63"/>
      <c r="P146" s="63"/>
      <c r="Q146" s="63"/>
      <c r="R146" s="63"/>
      <c r="S146" s="63"/>
      <c r="T146" s="63"/>
      <c r="U146" s="63"/>
      <c r="V146" s="63"/>
      <c r="W146" s="63"/>
      <c r="X146" s="63"/>
      <c r="Y146" s="63"/>
      <c r="Z146" s="63"/>
      <c r="AA146" s="63"/>
      <c r="AB146" s="63"/>
      <c r="AC146" s="63"/>
      <c r="AD146" s="63"/>
    </row>
    <row r="147" spans="1:30">
      <c r="A147" s="63"/>
      <c r="B147" s="63"/>
      <c r="C147" s="63"/>
      <c r="D147" s="63"/>
      <c r="E147" s="63"/>
      <c r="F147" s="63"/>
      <c r="G147" s="63"/>
      <c r="H147" s="63"/>
      <c r="I147" s="415"/>
      <c r="J147" s="63"/>
      <c r="K147" s="63"/>
      <c r="L147" s="63"/>
      <c r="M147" s="415"/>
      <c r="N147" s="63"/>
      <c r="O147" s="63"/>
      <c r="P147" s="63"/>
      <c r="Q147" s="63"/>
      <c r="R147" s="63"/>
      <c r="S147" s="63"/>
      <c r="T147" s="63"/>
      <c r="U147" s="63"/>
      <c r="V147" s="63"/>
      <c r="W147" s="63"/>
      <c r="X147" s="63"/>
      <c r="Y147" s="63"/>
      <c r="Z147" s="63"/>
      <c r="AA147" s="63"/>
      <c r="AB147" s="63"/>
      <c r="AC147" s="63"/>
      <c r="AD147" s="63"/>
    </row>
    <row r="148" spans="1:30">
      <c r="A148" s="63"/>
      <c r="B148" s="63"/>
      <c r="C148" s="63"/>
      <c r="D148" s="63"/>
      <c r="E148" s="63"/>
      <c r="F148" s="63"/>
      <c r="G148" s="63"/>
      <c r="H148" s="63"/>
      <c r="I148" s="415"/>
      <c r="J148" s="63"/>
      <c r="K148" s="63"/>
      <c r="L148" s="63"/>
      <c r="M148" s="415"/>
      <c r="N148" s="63"/>
      <c r="O148" s="63"/>
      <c r="P148" s="63"/>
      <c r="Q148" s="63"/>
      <c r="R148" s="63"/>
      <c r="S148" s="63"/>
      <c r="T148" s="63"/>
      <c r="U148" s="63"/>
      <c r="V148" s="63"/>
      <c r="W148" s="63"/>
      <c r="X148" s="63"/>
      <c r="Y148" s="63"/>
      <c r="Z148" s="63"/>
      <c r="AA148" s="63"/>
      <c r="AB148" s="63"/>
      <c r="AC148" s="63"/>
      <c r="AD148" s="63"/>
    </row>
    <row r="149" spans="1:30">
      <c r="A149" s="63"/>
      <c r="B149" s="63"/>
      <c r="C149" s="63"/>
      <c r="D149" s="63"/>
      <c r="E149" s="63"/>
      <c r="F149" s="63"/>
      <c r="G149" s="63"/>
      <c r="H149" s="63"/>
      <c r="I149" s="415"/>
      <c r="J149" s="63"/>
      <c r="K149" s="63"/>
      <c r="L149" s="63"/>
      <c r="M149" s="415"/>
      <c r="N149" s="63"/>
      <c r="O149" s="63"/>
      <c r="P149" s="63"/>
      <c r="Q149" s="63"/>
      <c r="R149" s="63"/>
      <c r="S149" s="63"/>
      <c r="T149" s="63"/>
      <c r="U149" s="63"/>
      <c r="V149" s="63"/>
      <c r="W149" s="63"/>
      <c r="X149" s="63"/>
      <c r="Y149" s="63"/>
      <c r="Z149" s="63"/>
      <c r="AA149" s="63"/>
      <c r="AB149" s="63"/>
      <c r="AC149" s="63"/>
      <c r="AD149" s="63"/>
    </row>
    <row r="150" spans="1:30">
      <c r="A150" s="63"/>
      <c r="B150" s="63"/>
      <c r="C150" s="63"/>
      <c r="D150" s="63"/>
      <c r="E150" s="63"/>
      <c r="F150" s="63"/>
      <c r="G150" s="63"/>
      <c r="H150" s="63"/>
      <c r="I150" s="415"/>
      <c r="J150" s="63"/>
      <c r="K150" s="63"/>
      <c r="L150" s="63"/>
      <c r="M150" s="415"/>
      <c r="N150" s="63"/>
      <c r="O150" s="63"/>
      <c r="P150" s="63"/>
      <c r="Q150" s="63"/>
      <c r="R150" s="63"/>
      <c r="S150" s="63"/>
      <c r="T150" s="63"/>
      <c r="U150" s="63"/>
      <c r="V150" s="63"/>
      <c r="W150" s="63"/>
      <c r="X150" s="63"/>
      <c r="Y150" s="63"/>
      <c r="Z150" s="63"/>
      <c r="AA150" s="63"/>
      <c r="AB150" s="63"/>
      <c r="AC150" s="63"/>
      <c r="AD150" s="63"/>
    </row>
    <row r="151" spans="1:30">
      <c r="A151" s="63"/>
      <c r="B151" s="63"/>
      <c r="C151" s="63"/>
      <c r="D151" s="63"/>
      <c r="E151" s="63"/>
      <c r="F151" s="63"/>
      <c r="G151" s="63"/>
      <c r="H151" s="63"/>
      <c r="I151" s="415"/>
      <c r="J151" s="63"/>
      <c r="K151" s="63"/>
      <c r="L151" s="63"/>
      <c r="M151" s="415"/>
      <c r="N151" s="63"/>
      <c r="O151" s="63"/>
      <c r="P151" s="63"/>
      <c r="Q151" s="63"/>
      <c r="R151" s="63"/>
      <c r="S151" s="63"/>
      <c r="T151" s="63"/>
      <c r="U151" s="63"/>
      <c r="V151" s="63"/>
      <c r="W151" s="63"/>
      <c r="X151" s="63"/>
      <c r="Y151" s="63"/>
      <c r="Z151" s="63"/>
      <c r="AA151" s="63"/>
      <c r="AB151" s="63"/>
      <c r="AC151" s="63"/>
      <c r="AD151" s="63"/>
    </row>
    <row r="152" spans="1:30">
      <c r="A152" s="63"/>
      <c r="B152" s="63"/>
      <c r="C152" s="63"/>
      <c r="D152" s="63"/>
      <c r="E152" s="63"/>
      <c r="F152" s="63"/>
      <c r="G152" s="63"/>
      <c r="H152" s="63"/>
      <c r="I152" s="415"/>
      <c r="J152" s="63"/>
      <c r="K152" s="63"/>
      <c r="L152" s="63"/>
      <c r="M152" s="415"/>
      <c r="N152" s="63"/>
      <c r="O152" s="63"/>
      <c r="P152" s="63"/>
      <c r="Q152" s="63"/>
      <c r="R152" s="63"/>
      <c r="S152" s="63"/>
      <c r="T152" s="63"/>
      <c r="U152" s="63"/>
      <c r="V152" s="63"/>
      <c r="W152" s="63"/>
      <c r="X152" s="63"/>
      <c r="Y152" s="63"/>
      <c r="Z152" s="63"/>
      <c r="AA152" s="63"/>
      <c r="AB152" s="63"/>
      <c r="AC152" s="63"/>
      <c r="AD152" s="63"/>
    </row>
    <row r="153" spans="1:30">
      <c r="A153" s="63"/>
      <c r="B153" s="63"/>
      <c r="C153" s="63"/>
      <c r="D153" s="63"/>
      <c r="E153" s="63"/>
      <c r="F153" s="63"/>
      <c r="G153" s="63"/>
      <c r="H153" s="63"/>
      <c r="I153" s="415"/>
      <c r="J153" s="63"/>
      <c r="K153" s="63"/>
      <c r="L153" s="63"/>
      <c r="M153" s="415"/>
      <c r="N153" s="63"/>
      <c r="O153" s="63"/>
      <c r="P153" s="63"/>
      <c r="Q153" s="63"/>
      <c r="R153" s="63"/>
      <c r="S153" s="63"/>
      <c r="T153" s="63"/>
      <c r="U153" s="63"/>
      <c r="V153" s="63"/>
      <c r="W153" s="63"/>
      <c r="X153" s="63"/>
      <c r="Y153" s="63"/>
      <c r="Z153" s="63"/>
      <c r="AA153" s="63"/>
      <c r="AB153" s="63"/>
      <c r="AC153" s="63"/>
      <c r="AD153" s="63"/>
    </row>
    <row r="154" spans="1:30">
      <c r="A154" s="63"/>
      <c r="B154" s="63"/>
      <c r="C154" s="63"/>
      <c r="D154" s="63"/>
      <c r="E154" s="63"/>
      <c r="F154" s="63"/>
      <c r="G154" s="63"/>
      <c r="H154" s="63"/>
      <c r="I154" s="415"/>
      <c r="J154" s="63"/>
      <c r="K154" s="63"/>
      <c r="L154" s="63"/>
      <c r="M154" s="415"/>
      <c r="N154" s="63"/>
      <c r="O154" s="63"/>
      <c r="P154" s="63"/>
      <c r="Q154" s="63"/>
      <c r="R154" s="63"/>
      <c r="S154" s="63"/>
      <c r="T154" s="63"/>
      <c r="U154" s="63"/>
      <c r="V154" s="63"/>
      <c r="W154" s="63"/>
      <c r="X154" s="63"/>
      <c r="Y154" s="63"/>
      <c r="Z154" s="63"/>
      <c r="AA154" s="63"/>
      <c r="AB154" s="63"/>
      <c r="AC154" s="63"/>
      <c r="AD154" s="63"/>
    </row>
    <row r="155" spans="1:30">
      <c r="A155" s="63"/>
      <c r="B155" s="63"/>
      <c r="C155" s="63"/>
      <c r="D155" s="63"/>
      <c r="E155" s="63"/>
      <c r="F155" s="63"/>
      <c r="G155" s="63"/>
      <c r="H155" s="63"/>
      <c r="I155" s="415"/>
      <c r="J155" s="63"/>
      <c r="K155" s="63"/>
      <c r="L155" s="63"/>
      <c r="M155" s="415"/>
      <c r="N155" s="63"/>
      <c r="O155" s="63"/>
      <c r="P155" s="63"/>
      <c r="Q155" s="63"/>
      <c r="R155" s="63"/>
      <c r="S155" s="63"/>
      <c r="T155" s="63"/>
      <c r="U155" s="63"/>
      <c r="V155" s="63"/>
      <c r="W155" s="63"/>
      <c r="X155" s="63"/>
      <c r="Y155" s="63"/>
      <c r="Z155" s="63"/>
      <c r="AA155" s="63"/>
      <c r="AB155" s="63"/>
      <c r="AC155" s="63"/>
      <c r="AD155" s="63"/>
    </row>
    <row r="156" spans="1:30">
      <c r="A156" s="63"/>
      <c r="B156" s="63"/>
      <c r="C156" s="63"/>
      <c r="D156" s="63"/>
      <c r="E156" s="63"/>
      <c r="F156" s="63"/>
      <c r="G156" s="63"/>
      <c r="H156" s="63"/>
      <c r="I156" s="964"/>
      <c r="J156" s="63"/>
      <c r="K156" s="63"/>
      <c r="L156" s="63"/>
      <c r="M156" s="964"/>
      <c r="N156" s="63"/>
      <c r="O156" s="63"/>
      <c r="P156" s="63"/>
      <c r="Q156" s="63"/>
      <c r="R156" s="63"/>
      <c r="S156" s="63"/>
      <c r="T156" s="63"/>
      <c r="U156" s="63"/>
      <c r="V156" s="63"/>
      <c r="W156" s="63"/>
      <c r="X156" s="63"/>
      <c r="Y156" s="63"/>
      <c r="Z156" s="63"/>
      <c r="AA156" s="63"/>
      <c r="AB156" s="63"/>
      <c r="AC156" s="63"/>
      <c r="AD156" s="63"/>
    </row>
    <row r="157" spans="1:30">
      <c r="A157" s="63"/>
      <c r="B157" s="63"/>
      <c r="C157" s="63"/>
      <c r="D157" s="63"/>
      <c r="E157" s="63"/>
      <c r="F157" s="63"/>
      <c r="G157" s="63"/>
      <c r="H157" s="63"/>
      <c r="I157" s="964"/>
      <c r="J157" s="63"/>
      <c r="K157" s="63"/>
      <c r="L157" s="63"/>
      <c r="M157" s="964"/>
      <c r="N157" s="63"/>
      <c r="O157" s="63"/>
      <c r="P157" s="63"/>
      <c r="Q157" s="63"/>
      <c r="R157" s="63"/>
      <c r="S157" s="63"/>
      <c r="T157" s="63"/>
      <c r="U157" s="63"/>
      <c r="V157" s="63"/>
      <c r="W157" s="63"/>
      <c r="X157" s="63"/>
      <c r="Y157" s="63"/>
      <c r="Z157" s="63"/>
      <c r="AA157" s="63"/>
      <c r="AB157" s="63"/>
      <c r="AC157" s="63"/>
      <c r="AD157" s="63"/>
    </row>
    <row r="158" spans="1:30">
      <c r="A158" s="63"/>
      <c r="B158" s="63"/>
      <c r="C158" s="63"/>
      <c r="D158" s="63"/>
      <c r="E158" s="63"/>
      <c r="F158" s="63"/>
      <c r="G158" s="63"/>
      <c r="H158" s="63"/>
      <c r="I158" s="964"/>
      <c r="J158" s="63"/>
      <c r="K158" s="63"/>
      <c r="L158" s="63"/>
      <c r="M158" s="964"/>
      <c r="N158" s="63"/>
      <c r="O158" s="63"/>
      <c r="P158" s="63"/>
      <c r="Q158" s="63"/>
      <c r="R158" s="63"/>
      <c r="S158" s="63"/>
      <c r="T158" s="63"/>
      <c r="U158" s="63"/>
      <c r="V158" s="63"/>
      <c r="W158" s="63"/>
      <c r="X158" s="63"/>
      <c r="Y158" s="63"/>
      <c r="Z158" s="63"/>
      <c r="AA158" s="63"/>
      <c r="AB158" s="63"/>
      <c r="AC158" s="63"/>
      <c r="AD158" s="63"/>
    </row>
    <row r="159" spans="1:30">
      <c r="A159" s="63"/>
      <c r="B159" s="63"/>
      <c r="C159" s="63"/>
      <c r="D159" s="63"/>
      <c r="E159" s="63"/>
      <c r="F159" s="63"/>
      <c r="G159" s="63"/>
      <c r="H159" s="63"/>
      <c r="I159" s="964"/>
      <c r="J159" s="63"/>
      <c r="K159" s="63"/>
      <c r="L159" s="63"/>
      <c r="M159" s="964"/>
      <c r="N159" s="63"/>
      <c r="O159" s="63"/>
      <c r="P159" s="63"/>
      <c r="Q159" s="63"/>
      <c r="R159" s="63"/>
      <c r="S159" s="63"/>
      <c r="T159" s="63"/>
      <c r="U159" s="63"/>
      <c r="V159" s="63"/>
      <c r="W159" s="63"/>
      <c r="X159" s="63"/>
      <c r="Y159" s="63"/>
      <c r="Z159" s="63"/>
      <c r="AA159" s="63"/>
      <c r="AB159" s="63"/>
      <c r="AC159" s="63"/>
      <c r="AD159" s="63"/>
    </row>
    <row r="160" spans="1:30">
      <c r="A160" s="63"/>
    </row>
  </sheetData>
  <sheetProtection algorithmName="SHA-512" hashValue="sXWUW//kD0QBJ7+VOwHcy60eHI87mR0epGrdaVA0sTF12i2apzXlrgblstB8cH3sSxhPpBIQtsPCPzCEAmSL6A==" saltValue="5hFrzz4t5bnUiZZTbD7guA==" spinCount="100000" sheet="1" objects="1" scenarios="1"/>
  <mergeCells count="59">
    <mergeCell ref="D2:E2"/>
    <mergeCell ref="A2:B2"/>
    <mergeCell ref="A28:C28"/>
    <mergeCell ref="G28:H28"/>
    <mergeCell ref="K66:N66"/>
    <mergeCell ref="E10:E11"/>
    <mergeCell ref="G66:J66"/>
    <mergeCell ref="C66:F66"/>
    <mergeCell ref="A27:C27"/>
    <mergeCell ref="D9:E9"/>
    <mergeCell ref="D10:D11"/>
    <mergeCell ref="A25:C25"/>
    <mergeCell ref="B13:C13"/>
    <mergeCell ref="B14:C14"/>
    <mergeCell ref="B15:C15"/>
    <mergeCell ref="B16:C16"/>
    <mergeCell ref="H103:H104"/>
    <mergeCell ref="K103:K104"/>
    <mergeCell ref="I103:I104"/>
    <mergeCell ref="C103:F104"/>
    <mergeCell ref="G103:G104"/>
    <mergeCell ref="J103:J104"/>
    <mergeCell ref="J86:K86"/>
    <mergeCell ref="J102:K102"/>
    <mergeCell ref="A87:A88"/>
    <mergeCell ref="C87:D87"/>
    <mergeCell ref="E87:E88"/>
    <mergeCell ref="G87:G88"/>
    <mergeCell ref="H87:H88"/>
    <mergeCell ref="K87:K88"/>
    <mergeCell ref="C94:E98"/>
    <mergeCell ref="J87:J88"/>
    <mergeCell ref="I87:I88"/>
    <mergeCell ref="C88:D88"/>
    <mergeCell ref="H86:I86"/>
    <mergeCell ref="G26:H26"/>
    <mergeCell ref="G24:H24"/>
    <mergeCell ref="G25:H25"/>
    <mergeCell ref="G27:H27"/>
    <mergeCell ref="B87:B88"/>
    <mergeCell ref="A33:C33"/>
    <mergeCell ref="A34:C34"/>
    <mergeCell ref="G29:H29"/>
    <mergeCell ref="G30:H30"/>
    <mergeCell ref="G31:H31"/>
    <mergeCell ref="G32:H32"/>
    <mergeCell ref="G33:H33"/>
    <mergeCell ref="G34:H34"/>
    <mergeCell ref="B17:C17"/>
    <mergeCell ref="B18:C18"/>
    <mergeCell ref="B19:C19"/>
    <mergeCell ref="B20:C20"/>
    <mergeCell ref="B21:C21"/>
    <mergeCell ref="B22:C22"/>
    <mergeCell ref="A29:C29"/>
    <mergeCell ref="A30:C30"/>
    <mergeCell ref="A31:C31"/>
    <mergeCell ref="A32:C32"/>
    <mergeCell ref="A26:C26"/>
  </mergeCells>
  <hyperlinks>
    <hyperlink ref="D2" location="Startseite!C7" display="zurück zur Startseite" xr:uid="{00000000-0004-0000-0E00-000000000000}"/>
    <hyperlink ref="A2" location="Rentabilität!B8" display="zur Rentabilitätsberechnung" xr:uid="{00000000-0004-0000-0E00-000001000000}"/>
    <hyperlink ref="A2:B2" location="Rentabilität!D11" display="zur Rentabilitätsberechnung" xr:uid="{00000000-0004-0000-0E00-000002000000}"/>
  </hyperlinks>
  <pageMargins left="1.1811023622047245" right="0.23622047244094491" top="1.3779527559055118" bottom="0.98425196850393704" header="0.51181102362204722" footer="0.51181102362204722"/>
  <pageSetup paperSize="9" scale="42" fitToHeight="2" orientation="portrait" blackAndWhite="1" horizontalDpi="300" verticalDpi="300" r:id="rId1"/>
  <headerFooter alignWithMargins="0">
    <oddFooter>&amp;L&amp;D&amp;RCopyright: Handwerkskammer Düsseldorf</oddFooter>
  </headerFooter>
  <rowBreaks count="1" manualBreakCount="1">
    <brk id="113" max="19" man="1"/>
  </rowBreaks>
  <colBreaks count="1" manualBreakCount="1">
    <brk id="16" min="3" max="62"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8"/>
  <dimension ref="A1:R195"/>
  <sheetViews>
    <sheetView topLeftCell="A165" zoomScale="80" zoomScaleNormal="80" workbookViewId="0">
      <selection activeCell="M195" sqref="M195"/>
    </sheetView>
  </sheetViews>
  <sheetFormatPr baseColWidth="10" defaultColWidth="11.44140625" defaultRowHeight="12.6"/>
  <cols>
    <col min="1" max="1" width="17.44140625" style="26" customWidth="1"/>
    <col min="2" max="14" width="13" style="26" customWidth="1"/>
    <col min="15" max="16" width="11.44140625" style="26"/>
    <col min="17" max="17" width="12.88671875" style="26" bestFit="1" customWidth="1"/>
    <col min="18" max="16384" width="11.44140625" style="26"/>
  </cols>
  <sheetData>
    <row r="1" spans="1:18">
      <c r="A1" s="29" t="s">
        <v>375</v>
      </c>
      <c r="B1" s="30"/>
      <c r="C1" s="30"/>
      <c r="D1" s="30"/>
      <c r="E1" s="30"/>
      <c r="F1" s="30"/>
      <c r="G1" s="30"/>
      <c r="H1" s="30"/>
      <c r="I1" s="30"/>
      <c r="J1" s="30"/>
      <c r="K1" s="30"/>
      <c r="L1" s="30"/>
      <c r="M1" s="30"/>
      <c r="N1" s="30"/>
      <c r="O1" s="31"/>
    </row>
    <row r="2" spans="1:18">
      <c r="A2" s="32" t="s">
        <v>343</v>
      </c>
      <c r="B2" s="26">
        <v>1</v>
      </c>
      <c r="C2" s="26">
        <v>2</v>
      </c>
      <c r="D2" s="26">
        <v>3</v>
      </c>
      <c r="E2" s="26">
        <v>4</v>
      </c>
      <c r="F2" s="26">
        <v>5</v>
      </c>
      <c r="G2" s="26">
        <v>6</v>
      </c>
      <c r="H2" s="26">
        <v>7</v>
      </c>
      <c r="I2" s="26">
        <v>8</v>
      </c>
      <c r="J2" s="26">
        <v>9</v>
      </c>
      <c r="K2" s="26">
        <v>10</v>
      </c>
      <c r="L2" s="26">
        <v>11</v>
      </c>
      <c r="M2" s="26">
        <v>12</v>
      </c>
      <c r="N2" s="46" t="s">
        <v>5</v>
      </c>
      <c r="O2" s="34"/>
      <c r="Q2" s="26" t="s">
        <v>528</v>
      </c>
      <c r="R2" s="26" t="s">
        <v>203</v>
      </c>
    </row>
    <row r="3" spans="1:18">
      <c r="A3" s="32">
        <v>1</v>
      </c>
      <c r="B3" s="54">
        <f>IF(Q3&gt;0,IF(Q3&lt;=Hilfstabelle!$B$2=AND(R3&gt;=Hilfstabelle!$B$2),'Personalkosten 1. Jahr'!O15/(R3-Q3+1),0),IF('Personalkosten 1. Jahr'!E15&gt;0,'Personalkosten 1. Jahr'!O15/12,0))</f>
        <v>0</v>
      </c>
      <c r="C3" s="54">
        <f>IF(Q3&gt;0,IF(Q3&lt;=Hilfstabelle!$C$2=AND(R3&gt;=Hilfstabelle!$C$2),'Personalkosten 1. Jahr'!O15/(R3-Q3+1),0),IF('Personalkosten 1. Jahr'!F15&gt;0,'Personalkosten 1. Jahr'!O15/12,0))</f>
        <v>0</v>
      </c>
      <c r="D3" s="54">
        <f>IF(Q3&gt;0,IF(Q3&lt;=Hilfstabelle!$D$2=AND(R3&gt;=Hilfstabelle!$D$2),'Personalkosten 1. Jahr'!O15/(R3-Q3+1),0),IF('Personalkosten 1. Jahr'!G15&gt;0,'Personalkosten 1. Jahr'!O15/12,0))</f>
        <v>0</v>
      </c>
      <c r="E3" s="54">
        <f>IF(Q3&gt;0,IF(Q3&lt;=Hilfstabelle!$E$2=AND(R3&gt;=Hilfstabelle!$E$2),'Personalkosten 1. Jahr'!O15/(R3-Q3+1),0),IF('Personalkosten 1. Jahr'!H15&gt;0,'Personalkosten 1. Jahr'!O15/12,0))</f>
        <v>0</v>
      </c>
      <c r="F3" s="54">
        <f>IF(Q3&gt;0,IF(Q3&lt;=Hilfstabelle!$F$2=AND(R3&gt;=Hilfstabelle!$F$2),'Personalkosten 1. Jahr'!O15/(R3-Q3+1),0),IF('Personalkosten 1. Jahr'!I15&gt;0,'Personalkosten 1. Jahr'!O15/12,0))</f>
        <v>0</v>
      </c>
      <c r="G3" s="54">
        <f>IF(Q3&gt;0,IF(Q3&lt;=Hilfstabelle!$G$2=AND(R3&gt;=Hilfstabelle!$G$2),'Personalkosten 1. Jahr'!O15/(R3-Q3+1),0),IF('Personalkosten 1. Jahr'!J15&gt;0,'Personalkosten 1. Jahr'!O15/12,0))</f>
        <v>0</v>
      </c>
      <c r="H3" s="54">
        <f>IF(Q3&gt;0,IF(Q3&lt;=Hilfstabelle!$H$2=AND(R3&gt;=Hilfstabelle!$H$2),'Personalkosten 1. Jahr'!O15/(R3-Q3+1),0),IF('Personalkosten 1. Jahr'!K15&gt;0,'Personalkosten 1. Jahr'!O15/12,0))</f>
        <v>0</v>
      </c>
      <c r="I3" s="54">
        <f>IF(Q3&gt;0,IF(Q3&lt;=Hilfstabelle!$I$2=AND(R3&gt;=Hilfstabelle!$I$2),'Personalkosten 1. Jahr'!O15/(R3-Q3+1),0),IF('Personalkosten 1. Jahr'!L15&gt;0,'Personalkosten 1. Jahr'!O15/12,0))</f>
        <v>0</v>
      </c>
      <c r="J3" s="54">
        <f>IF(Q3&gt;0,IF(Q3&lt;=Hilfstabelle!$J$2=AND(R3&gt;=Hilfstabelle!$J$2),'Personalkosten 1. Jahr'!O15/(R3-Q3+1),0),IF('Personalkosten 1. Jahr'!M15&gt;0,'Personalkosten 1. Jahr'!O15/12,0))</f>
        <v>0</v>
      </c>
      <c r="K3" s="54">
        <f>IF(Q3&gt;0,IF(Q3&lt;=Hilfstabelle!$K$2=AND(R3&gt;=Hilfstabelle!$K$2),'Personalkosten 1. Jahr'!O15/(R3-Q3+1),0),IF('Personalkosten 1. Jahr'!N15&gt;0,'Personalkosten 1. Jahr'!O15/12,0))</f>
        <v>0</v>
      </c>
      <c r="L3" s="54">
        <f>IF(Q3&gt;0,IF(Q3&lt;=Hilfstabelle!$L$2=AND(R3&gt;=Hilfstabelle!$L$2),'Personalkosten 1. Jahr'!O15/(R3-Q3+1),0),IF('Personalkosten 1. Jahr'!O15&gt;0,'Personalkosten 1. Jahr'!O15/12,0))</f>
        <v>0</v>
      </c>
      <c r="M3" s="54">
        <f>IF(Q3&gt;0,IF(Q3&lt;=Hilfstabelle!$M$2=AND(R3&gt;=Hilfstabelle!$M$2),'Personalkosten 1. Jahr'!O15/(R3-Q3+1),0),IF('Personalkosten 1. Jahr'!P15&gt;0,'Personalkosten 1. Jahr'!O15/12,0))</f>
        <v>0</v>
      </c>
      <c r="N3" s="55">
        <f t="shared" ref="N3:N29" si="0">SUM(B3:M3)</f>
        <v>0</v>
      </c>
      <c r="O3" s="42"/>
      <c r="Q3" s="26">
        <f>IF('Personalkosten 1. Jahr'!F15="",1,IF(EOMONTH('Personalkosten 1. Jahr'!F15,0)=EOMONTH(Startseite!$D$16,0),1,IF(EOMONTH('Personalkosten 1. Jahr'!F15,0)=EOMONTH(Startseite!$D$16,1),2,IF(EOMONTH('Personalkosten 1. Jahr'!F15,0)=EOMONTH(Startseite!$D$16,2),3,IF(EOMONTH('Personalkosten 1. Jahr'!F15,0)=EOMONTH(Startseite!$D$16,3),4,IF(EOMONTH('Personalkosten 1. Jahr'!F15,0)=EOMONTH(Startseite!$D$16,4),5,IF(EOMONTH('Personalkosten 1. Jahr'!F15,0)=EOMONTH(Startseite!$D$16,5),6,IF(EOMONTH('Personalkosten 1. Jahr'!F15,0)=EOMONTH(Startseite!$D$16,6),7,IF(EOMONTH('Personalkosten 1. Jahr'!F15,0)=EOMONTH(Startseite!$D$16,7),8,IF(EOMONTH('Personalkosten 1. Jahr'!F15,0)=EOMONTH(Startseite!$D$16,8),9,IF(EOMONTH('Personalkosten 1. Jahr'!F15,0)=EOMONTH(Startseite!$D$16,9),10,IF(EOMONTH('Personalkosten 1. Jahr'!F15,0)=EOMONTH(Startseite!$D$16,10),11,IF(EOMONTH('Personalkosten 1. Jahr'!F15,0)=EOMONTH(Startseite!$D$16,11),12,"")))))))))))))</f>
        <v>1</v>
      </c>
      <c r="R3" s="26">
        <f>IF('Personalkosten 1. Jahr'!G15="",12,IF(EOMONTH('Personalkosten 1. Jahr'!G15,0)=EOMONTH(Startseite!$D$16,0),1,IF(EOMONTH('Personalkosten 1. Jahr'!G15,0)=EOMONTH(Startseite!$D$16,1),2,IF(EOMONTH('Personalkosten 1. Jahr'!G15,0)=EOMONTH(Startseite!$D$16,2),3,IF(EOMONTH('Personalkosten 1. Jahr'!G15,0)=EOMONTH(Startseite!$D$16,3),4,IF(EOMONTH('Personalkosten 1. Jahr'!G15,0)=EOMONTH(Startseite!$D$16,4),5,IF(EOMONTH('Personalkosten 1. Jahr'!G15,0)=EOMONTH(Startseite!$D$16,5),6,IF(EOMONTH('Personalkosten 1. Jahr'!G15,0)=EOMONTH(Startseite!$D$16,6),7,IF(EOMONTH('Personalkosten 1. Jahr'!G15,0)=EOMONTH(Startseite!$D$16,7),8,IF(EOMONTH('Personalkosten 1. Jahr'!G15,0)=EOMONTH(Startseite!$D$16,8),9,IF(EOMONTH('Personalkosten 1. Jahr'!G15,0)=EOMONTH(Startseite!$D$16,9),10,IF(EOMONTH('Personalkosten 1. Jahr'!G15,0)=EOMONTH(Startseite!$D$16,10),11,IF(EOMONTH('Personalkosten 1. Jahr'!G15,0)=EOMONTH(Startseite!$D$16,11),12,"")))))))))))))</f>
        <v>12</v>
      </c>
    </row>
    <row r="4" spans="1:18">
      <c r="A4" s="32">
        <v>2</v>
      </c>
      <c r="B4" s="54">
        <f>IF(Q4&gt;0,IF(Q4&lt;=Hilfstabelle!$B$2=AND(R4&gt;=Hilfstabelle!$B$2),'Personalkosten 1. Jahr'!O16/(R4-Q4+1),0),IF('Personalkosten 1. Jahr'!E16&gt;0,'Personalkosten 1. Jahr'!O16/12,0))</f>
        <v>0</v>
      </c>
      <c r="C4" s="54">
        <f>IF(Q4&gt;0,IF(Q4&lt;=Hilfstabelle!$C$2=AND(R4&gt;=Hilfstabelle!$C$2),'Personalkosten 1. Jahr'!O16/(R4-Q4+1),0),IF('Personalkosten 1. Jahr'!F16&gt;0,'Personalkosten 1. Jahr'!O16/12,0))</f>
        <v>0</v>
      </c>
      <c r="D4" s="54">
        <f>IF(Q4&gt;0,IF(Q4&lt;=Hilfstabelle!$D$2=AND(R4&gt;=Hilfstabelle!$D$2),'Personalkosten 1. Jahr'!O16/(R4-Q4+1),0),IF('Personalkosten 1. Jahr'!G16&gt;0,'Personalkosten 1. Jahr'!O16/12,0))</f>
        <v>0</v>
      </c>
      <c r="E4" s="54">
        <f>IF(Q4&gt;0,IF(Q4&lt;=Hilfstabelle!$E$2=AND(R4&gt;=Hilfstabelle!$E$2),'Personalkosten 1. Jahr'!O16/(R4-Q4+1),0),IF('Personalkosten 1. Jahr'!H16&gt;0,'Personalkosten 1. Jahr'!O16/12,0))</f>
        <v>0</v>
      </c>
      <c r="F4" s="54">
        <f>IF(Q4&gt;0,IF(Q4&lt;=Hilfstabelle!$F$2=AND(R4&gt;=Hilfstabelle!$F$2),'Personalkosten 1. Jahr'!O16/(R4-Q4+1),0),IF('Personalkosten 1. Jahr'!I16&gt;0,'Personalkosten 1. Jahr'!O16/12,0))</f>
        <v>0</v>
      </c>
      <c r="G4" s="54">
        <f>IF(Q4&gt;0,IF(Q4&lt;=Hilfstabelle!$G$2=AND(R4&gt;=Hilfstabelle!$G$2),'Personalkosten 1. Jahr'!O16/(R4-Q4+1),0),IF('Personalkosten 1. Jahr'!J16&gt;0,'Personalkosten 1. Jahr'!O16/12,0))</f>
        <v>0</v>
      </c>
      <c r="H4" s="54">
        <f>IF(Q4&gt;0,IF(Q4&lt;=Hilfstabelle!$H$2=AND(R4&gt;=Hilfstabelle!$H$2),'Personalkosten 1. Jahr'!O16/(R4-Q4+1),0),IF('Personalkosten 1. Jahr'!K16&gt;0,'Personalkosten 1. Jahr'!O16/12,0))</f>
        <v>0</v>
      </c>
      <c r="I4" s="54">
        <f>IF(Q4&gt;0,IF(Q4&lt;=Hilfstabelle!$I$2=AND(R4&gt;=Hilfstabelle!$I$2),'Personalkosten 1. Jahr'!O16/(R4-Q4+1),0),IF('Personalkosten 1. Jahr'!L16&gt;0,'Personalkosten 1. Jahr'!O16/12,0))</f>
        <v>0</v>
      </c>
      <c r="J4" s="54">
        <f>IF(Q4&gt;0,IF(Q4&lt;=Hilfstabelle!$J$2=AND(R4&gt;=Hilfstabelle!$J$2),'Personalkosten 1. Jahr'!O16/(R4-Q4+1),0),IF('Personalkosten 1. Jahr'!M16&gt;0,'Personalkosten 1. Jahr'!O16/12,0))</f>
        <v>0</v>
      </c>
      <c r="K4" s="54">
        <f>IF(Q4&gt;0,IF(Q4&lt;=Hilfstabelle!$K$2=AND(R4&gt;=Hilfstabelle!$K$2),'Personalkosten 1. Jahr'!O16/(R4-Q4+1),0),IF('Personalkosten 1. Jahr'!N16&gt;0,'Personalkosten 1. Jahr'!O16/12,0))</f>
        <v>0</v>
      </c>
      <c r="L4" s="54">
        <f>IF(Q4&gt;0,IF(Q4&lt;=Hilfstabelle!$L$2=AND(R4&gt;=Hilfstabelle!$L$2),'Personalkosten 1. Jahr'!O16/(R4-Q4+1),0),IF('Personalkosten 1. Jahr'!O16&gt;0,'Personalkosten 1. Jahr'!O16/12,0))</f>
        <v>0</v>
      </c>
      <c r="M4" s="54">
        <f>IF(Q4&gt;0,IF(Q4&lt;=Hilfstabelle!$M$2=AND(R4&gt;=Hilfstabelle!$M$2),'Personalkosten 1. Jahr'!O16/(R4-Q4+1),0),IF('Personalkosten 1. Jahr'!P16&gt;0,'Personalkosten 1. Jahr'!O16/12,0))</f>
        <v>0</v>
      </c>
      <c r="N4" s="55">
        <f t="shared" si="0"/>
        <v>0</v>
      </c>
      <c r="O4" s="34"/>
      <c r="Q4" s="26">
        <f>IF('Personalkosten 1. Jahr'!F16="",1,IF(EOMONTH('Personalkosten 1. Jahr'!F16,0)=EOMONTH(Startseite!$D$16,0),1,IF(EOMONTH('Personalkosten 1. Jahr'!F16,0)=EOMONTH(Startseite!$D$16,1),2,IF(EOMONTH('Personalkosten 1. Jahr'!F16,0)=EOMONTH(Startseite!$D$16,2),3,IF(EOMONTH('Personalkosten 1. Jahr'!F16,0)=EOMONTH(Startseite!$D$16,3),4,IF(EOMONTH('Personalkosten 1. Jahr'!F16,0)=EOMONTH(Startseite!$D$16,4),5,IF(EOMONTH('Personalkosten 1. Jahr'!F16,0)=EOMONTH(Startseite!$D$16,5),6,IF(EOMONTH('Personalkosten 1. Jahr'!F16,0)=EOMONTH(Startseite!$D$16,6),7,IF(EOMONTH('Personalkosten 1. Jahr'!F16,0)=EOMONTH(Startseite!$D$16,7),8,IF(EOMONTH('Personalkosten 1. Jahr'!F16,0)=EOMONTH(Startseite!$D$16,8),9,IF(EOMONTH('Personalkosten 1. Jahr'!F16,0)=EOMONTH(Startseite!$D$16,9),10,IF(EOMONTH('Personalkosten 1. Jahr'!F16,0)=EOMONTH(Startseite!$D$16,10),11,IF(EOMONTH('Personalkosten 1. Jahr'!F16,0)=EOMONTH(Startseite!$D$16,11),12,"")))))))))))))</f>
        <v>1</v>
      </c>
      <c r="R4" s="26">
        <f>IF('Personalkosten 1. Jahr'!G16="",12,IF(EOMONTH('Personalkosten 1. Jahr'!G16,0)=EOMONTH(Startseite!$D$16,0),1,IF(EOMONTH('Personalkosten 1. Jahr'!G16,0)=EOMONTH(Startseite!$D$16,1),2,IF(EOMONTH('Personalkosten 1. Jahr'!G16,0)=EOMONTH(Startseite!$D$16,2),3,IF(EOMONTH('Personalkosten 1. Jahr'!G16,0)=EOMONTH(Startseite!$D$16,3),4,IF(EOMONTH('Personalkosten 1. Jahr'!G16,0)=EOMONTH(Startseite!$D$16,4),5,IF(EOMONTH('Personalkosten 1. Jahr'!G16,0)=EOMONTH(Startseite!$D$16,5),6,IF(EOMONTH('Personalkosten 1. Jahr'!G16,0)=EOMONTH(Startseite!$D$16,6),7,IF(EOMONTH('Personalkosten 1. Jahr'!G16,0)=EOMONTH(Startseite!$D$16,7),8,IF(EOMONTH('Personalkosten 1. Jahr'!G16,0)=EOMONTH(Startseite!$D$16,8),9,IF(EOMONTH('Personalkosten 1. Jahr'!G16,0)=EOMONTH(Startseite!$D$16,9),10,IF(EOMONTH('Personalkosten 1. Jahr'!G16,0)=EOMONTH(Startseite!$D$16,10),11,IF(EOMONTH('Personalkosten 1. Jahr'!G16,0)=EOMONTH(Startseite!$D$16,11),12,"")))))))))))))</f>
        <v>12</v>
      </c>
    </row>
    <row r="5" spans="1:18">
      <c r="A5" s="32">
        <v>3</v>
      </c>
      <c r="B5" s="54">
        <f>IF(Q5&gt;0,IF(Q5&lt;=Hilfstabelle!$B$2=AND(R5&gt;=Hilfstabelle!$B$2),'Personalkosten 1. Jahr'!O17/(R5-Q5+1),0),IF('Personalkosten 1. Jahr'!E17&gt;0,'Personalkosten 1. Jahr'!O17/12,0))</f>
        <v>0</v>
      </c>
      <c r="C5" s="54">
        <f>IF(Q5&gt;0,IF(Q5&lt;=Hilfstabelle!$C$2=AND(R5&gt;=Hilfstabelle!$C$2),'Personalkosten 1. Jahr'!O17/(R5-Q5+1),0),IF('Personalkosten 1. Jahr'!F17&gt;0,'Personalkosten 1. Jahr'!O17/12,0))</f>
        <v>0</v>
      </c>
      <c r="D5" s="54">
        <f>IF(Q5&gt;0,IF(Q5&lt;=Hilfstabelle!$D$2=AND(R5&gt;=Hilfstabelle!$D$2),'Personalkosten 1. Jahr'!O17/(R5-Q5+1),0),IF('Personalkosten 1. Jahr'!G17&gt;0,'Personalkosten 1. Jahr'!O17/12,0))</f>
        <v>0</v>
      </c>
      <c r="E5" s="54">
        <f>IF(Q5&gt;0,IF(Q5&lt;=Hilfstabelle!$E$2=AND(R5&gt;=Hilfstabelle!$E$2),'Personalkosten 1. Jahr'!O17/(R5-Q5+1),0),IF('Personalkosten 1. Jahr'!H17&gt;0,'Personalkosten 1. Jahr'!O17/12,0))</f>
        <v>0</v>
      </c>
      <c r="F5" s="54">
        <f>IF(Q5&gt;0,IF(Q5&lt;=Hilfstabelle!$F$2=AND(R5&gt;=Hilfstabelle!$F$2),'Personalkosten 1. Jahr'!O17/(R5-Q5+1),0),IF('Personalkosten 1. Jahr'!I17&gt;0,'Personalkosten 1. Jahr'!O17/12,0))</f>
        <v>0</v>
      </c>
      <c r="G5" s="54">
        <f>IF(Q5&gt;0,IF(Q5&lt;=Hilfstabelle!$G$2=AND(R5&gt;=Hilfstabelle!$G$2),'Personalkosten 1. Jahr'!O17/(R5-Q5+1),0),IF('Personalkosten 1. Jahr'!J17&gt;0,'Personalkosten 1. Jahr'!O17/12,0))</f>
        <v>0</v>
      </c>
      <c r="H5" s="54">
        <f>IF(Q5&gt;0,IF(Q5&lt;=Hilfstabelle!$H$2=AND(R5&gt;=Hilfstabelle!$H$2),'Personalkosten 1. Jahr'!O17/(R5-Q5+1),0),IF('Personalkosten 1. Jahr'!K17&gt;0,'Personalkosten 1. Jahr'!O17/12,0))</f>
        <v>0</v>
      </c>
      <c r="I5" s="54">
        <f>IF(Q5&gt;0,IF(Q5&lt;=Hilfstabelle!$I$2=AND(R5&gt;=Hilfstabelle!$I$2),'Personalkosten 1. Jahr'!O17/(R5-Q5+1),0),IF('Personalkosten 1. Jahr'!L17&gt;0,'Personalkosten 1. Jahr'!O17/12,0))</f>
        <v>0</v>
      </c>
      <c r="J5" s="54">
        <f>IF(Q5&gt;0,IF(Q5&lt;=Hilfstabelle!$J$2=AND(R5&gt;=Hilfstabelle!$J$2),'Personalkosten 1. Jahr'!O17/(R5-Q5+1),0),IF('Personalkosten 1. Jahr'!M17&gt;0,'Personalkosten 1. Jahr'!O17/12,0))</f>
        <v>0</v>
      </c>
      <c r="K5" s="54">
        <f>IF(Q5&gt;0,IF(Q5&lt;=Hilfstabelle!$K$2=AND(R5&gt;=Hilfstabelle!$K$2),'Personalkosten 1. Jahr'!O17/(R5-Q5+1),0),IF('Personalkosten 1. Jahr'!N17&gt;0,'Personalkosten 1. Jahr'!O17/12,0))</f>
        <v>0</v>
      </c>
      <c r="L5" s="54">
        <f>IF(Q5&gt;0,IF(Q5&lt;=Hilfstabelle!$L$2=AND(R5&gt;=Hilfstabelle!$L$2),'Personalkosten 1. Jahr'!O17/(R5-Q5+1),0),IF('Personalkosten 1. Jahr'!O17&gt;0,'Personalkosten 1. Jahr'!O17/12,0))</f>
        <v>0</v>
      </c>
      <c r="M5" s="54">
        <f>IF(Q5&gt;0,IF(Q5&lt;=Hilfstabelle!$M$2=AND(R5&gt;=Hilfstabelle!$M$2),'Personalkosten 1. Jahr'!O17/(R5-Q5+1),0),IF('Personalkosten 1. Jahr'!P17&gt;0,'Personalkosten 1. Jahr'!O17/12,0))</f>
        <v>0</v>
      </c>
      <c r="N5" s="55">
        <f t="shared" si="0"/>
        <v>0</v>
      </c>
      <c r="O5" s="34"/>
      <c r="Q5" s="26">
        <f>IF('Personalkosten 1. Jahr'!F17="",1,IF(EOMONTH('Personalkosten 1. Jahr'!F17,0)=EOMONTH(Startseite!$D$16,0),1,IF(EOMONTH('Personalkosten 1. Jahr'!F17,0)=EOMONTH(Startseite!$D$16,1),2,IF(EOMONTH('Personalkosten 1. Jahr'!F17,0)=EOMONTH(Startseite!$D$16,2),3,IF(EOMONTH('Personalkosten 1. Jahr'!F17,0)=EOMONTH(Startseite!$D$16,3),4,IF(EOMONTH('Personalkosten 1. Jahr'!F17,0)=EOMONTH(Startseite!$D$16,4),5,IF(EOMONTH('Personalkosten 1. Jahr'!F17,0)=EOMONTH(Startseite!$D$16,5),6,IF(EOMONTH('Personalkosten 1. Jahr'!F17,0)=EOMONTH(Startseite!$D$16,6),7,IF(EOMONTH('Personalkosten 1. Jahr'!F17,0)=EOMONTH(Startseite!$D$16,7),8,IF(EOMONTH('Personalkosten 1. Jahr'!F17,0)=EOMONTH(Startseite!$D$16,8),9,IF(EOMONTH('Personalkosten 1. Jahr'!F17,0)=EOMONTH(Startseite!$D$16,9),10,IF(EOMONTH('Personalkosten 1. Jahr'!F17,0)=EOMONTH(Startseite!$D$16,10),11,IF(EOMONTH('Personalkosten 1. Jahr'!F17,0)=EOMONTH(Startseite!$D$16,11),12,"")))))))))))))</f>
        <v>1</v>
      </c>
      <c r="R5" s="26">
        <f>IF('Personalkosten 1. Jahr'!G17="",12,IF(EOMONTH('Personalkosten 1. Jahr'!G17,0)=EOMONTH(Startseite!$D$16,0),1,IF(EOMONTH('Personalkosten 1. Jahr'!G17,0)=EOMONTH(Startseite!$D$16,1),2,IF(EOMONTH('Personalkosten 1. Jahr'!G17,0)=EOMONTH(Startseite!$D$16,2),3,IF(EOMONTH('Personalkosten 1. Jahr'!G17,0)=EOMONTH(Startseite!$D$16,3),4,IF(EOMONTH('Personalkosten 1. Jahr'!G17,0)=EOMONTH(Startseite!$D$16,4),5,IF(EOMONTH('Personalkosten 1. Jahr'!G17,0)=EOMONTH(Startseite!$D$16,5),6,IF(EOMONTH('Personalkosten 1. Jahr'!G17,0)=EOMONTH(Startseite!$D$16,6),7,IF(EOMONTH('Personalkosten 1. Jahr'!G17,0)=EOMONTH(Startseite!$D$16,7),8,IF(EOMONTH('Personalkosten 1. Jahr'!G17,0)=EOMONTH(Startseite!$D$16,8),9,IF(EOMONTH('Personalkosten 1. Jahr'!G17,0)=EOMONTH(Startseite!$D$16,9),10,IF(EOMONTH('Personalkosten 1. Jahr'!G17,0)=EOMONTH(Startseite!$D$16,10),11,IF(EOMONTH('Personalkosten 1. Jahr'!G17,0)=EOMONTH(Startseite!$D$16,11),12,"")))))))))))))</f>
        <v>12</v>
      </c>
    </row>
    <row r="6" spans="1:18">
      <c r="A6" s="32">
        <v>4</v>
      </c>
      <c r="B6" s="54">
        <f>IF(Q6&gt;0,IF(Q6&lt;=Hilfstabelle!$B$2=AND(R6&gt;=Hilfstabelle!$B$2),'Personalkosten 1. Jahr'!O18/(R6-Q6+1),0),IF('Personalkosten 1. Jahr'!E18&gt;0,'Personalkosten 1. Jahr'!O18/12,0))</f>
        <v>0</v>
      </c>
      <c r="C6" s="54">
        <f>IF(Q6&gt;0,IF(Q6&lt;=Hilfstabelle!$C$2=AND(R6&gt;=Hilfstabelle!$C$2),'Personalkosten 1. Jahr'!O18/(R6-Q6+1),0),IF('Personalkosten 1. Jahr'!F18&gt;0,'Personalkosten 1. Jahr'!O18/12,0))</f>
        <v>0</v>
      </c>
      <c r="D6" s="54">
        <f>IF(Q6&gt;0,IF(Q6&lt;=Hilfstabelle!$D$2=AND(R6&gt;=Hilfstabelle!$D$2),'Personalkosten 1. Jahr'!O18/(R6-Q6+1),0),IF('Personalkosten 1. Jahr'!G18&gt;0,'Personalkosten 1. Jahr'!O18/12,0))</f>
        <v>0</v>
      </c>
      <c r="E6" s="54">
        <f>IF(Q6&gt;0,IF(Q6&lt;=Hilfstabelle!$E$2=AND(R6&gt;=Hilfstabelle!$E$2),'Personalkosten 1. Jahr'!O18/(R6-Q6+1),0),IF('Personalkosten 1. Jahr'!H18&gt;0,'Personalkosten 1. Jahr'!O18/12,0))</f>
        <v>0</v>
      </c>
      <c r="F6" s="54">
        <f>IF(Q6&gt;0,IF(Q6&lt;=Hilfstabelle!$F$2=AND(R6&gt;=Hilfstabelle!$F$2),'Personalkosten 1. Jahr'!O18/(R6-Q6+1),0),IF('Personalkosten 1. Jahr'!I18&gt;0,'Personalkosten 1. Jahr'!O18/12,0))</f>
        <v>0</v>
      </c>
      <c r="G6" s="54">
        <f>IF(Q6&gt;0,IF(Q6&lt;=Hilfstabelle!$G$2=AND(R6&gt;=Hilfstabelle!$G$2),'Personalkosten 1. Jahr'!O18/(R6-Q6+1),0),IF('Personalkosten 1. Jahr'!J18&gt;0,'Personalkosten 1. Jahr'!O18/12,0))</f>
        <v>0</v>
      </c>
      <c r="H6" s="54">
        <f>IF(Q6&gt;0,IF(Q6&lt;=Hilfstabelle!$H$2=AND(R6&gt;=Hilfstabelle!$H$2),'Personalkosten 1. Jahr'!O18/(R6-Q6+1),0),IF('Personalkosten 1. Jahr'!K18&gt;0,'Personalkosten 1. Jahr'!O18/12,0))</f>
        <v>0</v>
      </c>
      <c r="I6" s="54">
        <f>IF(Q6&gt;0,IF(Q6&lt;=Hilfstabelle!$I$2=AND(R6&gt;=Hilfstabelle!$I$2),'Personalkosten 1. Jahr'!O18/(R6-Q6+1),0),IF('Personalkosten 1. Jahr'!L18&gt;0,'Personalkosten 1. Jahr'!O18/12,0))</f>
        <v>0</v>
      </c>
      <c r="J6" s="54">
        <f>IF(Q6&gt;0,IF(Q6&lt;=Hilfstabelle!$J$2=AND(R6&gt;=Hilfstabelle!$J$2),'Personalkosten 1. Jahr'!O18/(R6-Q6+1),0),IF('Personalkosten 1. Jahr'!M18&gt;0,'Personalkosten 1. Jahr'!O18/12,0))</f>
        <v>0</v>
      </c>
      <c r="K6" s="54">
        <f>IF(Q6&gt;0,IF(Q6&lt;=Hilfstabelle!$K$2=AND(R6&gt;=Hilfstabelle!$K$2),'Personalkosten 1. Jahr'!O18/(R6-Q6+1),0),IF('Personalkosten 1. Jahr'!N18&gt;0,'Personalkosten 1. Jahr'!O18/12,0))</f>
        <v>0</v>
      </c>
      <c r="L6" s="54">
        <f>IF(Q6&gt;0,IF(Q6&lt;=Hilfstabelle!$L$2=AND(R6&gt;=Hilfstabelle!$L$2),'Personalkosten 1. Jahr'!O18/(R6-Q6+1),0),IF('Personalkosten 1. Jahr'!O18&gt;0,'Personalkosten 1. Jahr'!O18/12,0))</f>
        <v>0</v>
      </c>
      <c r="M6" s="54">
        <f>IF(Q6&gt;0,IF(Q6&lt;=Hilfstabelle!$M$2=AND(R6&gt;=Hilfstabelle!$M$2),'Personalkosten 1. Jahr'!O18/(R6-Q6+1),0),IF('Personalkosten 1. Jahr'!P18&gt;0,'Personalkosten 1. Jahr'!O18/12,0))</f>
        <v>0</v>
      </c>
      <c r="N6" s="55">
        <f t="shared" si="0"/>
        <v>0</v>
      </c>
      <c r="O6" s="34"/>
      <c r="Q6" s="26">
        <f>IF('Personalkosten 1. Jahr'!F18="",1,IF(EOMONTH('Personalkosten 1. Jahr'!F18,0)=EOMONTH(Startseite!$D$16,0),1,IF(EOMONTH('Personalkosten 1. Jahr'!F18,0)=EOMONTH(Startseite!$D$16,1),2,IF(EOMONTH('Personalkosten 1. Jahr'!F18,0)=EOMONTH(Startseite!$D$16,2),3,IF(EOMONTH('Personalkosten 1. Jahr'!F18,0)=EOMONTH(Startseite!$D$16,3),4,IF(EOMONTH('Personalkosten 1. Jahr'!F18,0)=EOMONTH(Startseite!$D$16,4),5,IF(EOMONTH('Personalkosten 1. Jahr'!F18,0)=EOMONTH(Startseite!$D$16,5),6,IF(EOMONTH('Personalkosten 1. Jahr'!F18,0)=EOMONTH(Startseite!$D$16,6),7,IF(EOMONTH('Personalkosten 1. Jahr'!F18,0)=EOMONTH(Startseite!$D$16,7),8,IF(EOMONTH('Personalkosten 1. Jahr'!F18,0)=EOMONTH(Startseite!$D$16,8),9,IF(EOMONTH('Personalkosten 1. Jahr'!F18,0)=EOMONTH(Startseite!$D$16,9),10,IF(EOMONTH('Personalkosten 1. Jahr'!F18,0)=EOMONTH(Startseite!$D$16,10),11,IF(EOMONTH('Personalkosten 1. Jahr'!F18,0)=EOMONTH(Startseite!$D$16,11),12,"")))))))))))))</f>
        <v>1</v>
      </c>
      <c r="R6" s="26">
        <f>IF('Personalkosten 1. Jahr'!G18="",12,IF(EOMONTH('Personalkosten 1. Jahr'!G18,0)=EOMONTH(Startseite!$D$16,0),1,IF(EOMONTH('Personalkosten 1. Jahr'!G18,0)=EOMONTH(Startseite!$D$16,1),2,IF(EOMONTH('Personalkosten 1. Jahr'!G18,0)=EOMONTH(Startseite!$D$16,2),3,IF(EOMONTH('Personalkosten 1. Jahr'!G18,0)=EOMONTH(Startseite!$D$16,3),4,IF(EOMONTH('Personalkosten 1. Jahr'!G18,0)=EOMONTH(Startseite!$D$16,4),5,IF(EOMONTH('Personalkosten 1. Jahr'!G18,0)=EOMONTH(Startseite!$D$16,5),6,IF(EOMONTH('Personalkosten 1. Jahr'!G18,0)=EOMONTH(Startseite!$D$16,6),7,IF(EOMONTH('Personalkosten 1. Jahr'!G18,0)=EOMONTH(Startseite!$D$16,7),8,IF(EOMONTH('Personalkosten 1. Jahr'!G18,0)=EOMONTH(Startseite!$D$16,8),9,IF(EOMONTH('Personalkosten 1. Jahr'!G18,0)=EOMONTH(Startseite!$D$16,9),10,IF(EOMONTH('Personalkosten 1. Jahr'!G18,0)=EOMONTH(Startseite!$D$16,10),11,IF(EOMONTH('Personalkosten 1. Jahr'!G18,0)=EOMONTH(Startseite!$D$16,11),12,"")))))))))))))</f>
        <v>12</v>
      </c>
    </row>
    <row r="7" spans="1:18">
      <c r="A7" s="32">
        <v>5</v>
      </c>
      <c r="B7" s="54">
        <f>IF(Q7&gt;0,IF(Q7&lt;=Hilfstabelle!$B$2=AND(R7&gt;=Hilfstabelle!$B$2),'Personalkosten 1. Jahr'!O19/(R7-Q7+1),0),IF('Personalkosten 1. Jahr'!E19&gt;0,'Personalkosten 1. Jahr'!O19/12,0))</f>
        <v>0</v>
      </c>
      <c r="C7" s="54">
        <f>IF(Q7&gt;0,IF(Q7&lt;=Hilfstabelle!$C$2=AND(R7&gt;=Hilfstabelle!$C$2),'Personalkosten 1. Jahr'!O19/(R7-Q7+1),0),IF('Personalkosten 1. Jahr'!F19&gt;0,'Personalkosten 1. Jahr'!O19/12,0))</f>
        <v>0</v>
      </c>
      <c r="D7" s="54">
        <f>IF(Q7&gt;0,IF(Q7&lt;=Hilfstabelle!$D$2=AND(R7&gt;=Hilfstabelle!$D$2),'Personalkosten 1. Jahr'!O19/(R7-Q7+1),0),IF('Personalkosten 1. Jahr'!G19&gt;0,'Personalkosten 1. Jahr'!O19/12,0))</f>
        <v>0</v>
      </c>
      <c r="E7" s="54">
        <f>IF(Q7&gt;0,IF(Q7&lt;=Hilfstabelle!$E$2=AND(R7&gt;=Hilfstabelle!$E$2),'Personalkosten 1. Jahr'!O19/(R7-Q7+1),0),IF('Personalkosten 1. Jahr'!H19&gt;0,'Personalkosten 1. Jahr'!O19/12,0))</f>
        <v>0</v>
      </c>
      <c r="F7" s="54">
        <f>IF(Q7&gt;0,IF(Q7&lt;=Hilfstabelle!$F$2=AND(R7&gt;=Hilfstabelle!$F$2),'Personalkosten 1. Jahr'!O19/(R7-Q7+1),0),IF('Personalkosten 1. Jahr'!I19&gt;0,'Personalkosten 1. Jahr'!O19/12,0))</f>
        <v>0</v>
      </c>
      <c r="G7" s="54">
        <f>IF(Q7&gt;0,IF(Q7&lt;=Hilfstabelle!$G$2=AND(R7&gt;=Hilfstabelle!$G$2),'Personalkosten 1. Jahr'!O19/(R7-Q7+1),0),IF('Personalkosten 1. Jahr'!J19&gt;0,'Personalkosten 1. Jahr'!O19/12,0))</f>
        <v>0</v>
      </c>
      <c r="H7" s="54">
        <f>IF(Q7&gt;0,IF(Q7&lt;=Hilfstabelle!$H$2=AND(R7&gt;=Hilfstabelle!$H$2),'Personalkosten 1. Jahr'!O19/(R7-Q7+1),0),IF('Personalkosten 1. Jahr'!K19&gt;0,'Personalkosten 1. Jahr'!O19/12,0))</f>
        <v>0</v>
      </c>
      <c r="I7" s="54">
        <f>IF(Q7&gt;0,IF(Q7&lt;=Hilfstabelle!$I$2=AND(R7&gt;=Hilfstabelle!$I$2),'Personalkosten 1. Jahr'!O19/(R7-Q7+1),0),IF('Personalkosten 1. Jahr'!L19&gt;0,'Personalkosten 1. Jahr'!O19/12,0))</f>
        <v>0</v>
      </c>
      <c r="J7" s="54">
        <f>IF(Q7&gt;0,IF(Q7&lt;=Hilfstabelle!$J$2=AND(R7&gt;=Hilfstabelle!$J$2),'Personalkosten 1. Jahr'!O19/(R7-Q7+1),0),IF('Personalkosten 1. Jahr'!M19&gt;0,'Personalkosten 1. Jahr'!O19/12,0))</f>
        <v>0</v>
      </c>
      <c r="K7" s="54">
        <f>IF(Q7&gt;0,IF(Q7&lt;=Hilfstabelle!$K$2=AND(R7&gt;=Hilfstabelle!$K$2),'Personalkosten 1. Jahr'!O19/(R7-Q7+1),0),IF('Personalkosten 1. Jahr'!N19&gt;0,'Personalkosten 1. Jahr'!O19/12,0))</f>
        <v>0</v>
      </c>
      <c r="L7" s="54">
        <f>IF(Q7&gt;0,IF(Q7&lt;=Hilfstabelle!$L$2=AND(R7&gt;=Hilfstabelle!$L$2),'Personalkosten 1. Jahr'!O19/(R7-Q7+1),0),IF('Personalkosten 1. Jahr'!O19&gt;0,'Personalkosten 1. Jahr'!O19/12,0))</f>
        <v>0</v>
      </c>
      <c r="M7" s="54">
        <f>IF(Q7&gt;0,IF(Q7&lt;=Hilfstabelle!$M$2=AND(R7&gt;=Hilfstabelle!$M$2),'Personalkosten 1. Jahr'!O19/(R7-Q7+1),0),IF('Personalkosten 1. Jahr'!P19&gt;0,'Personalkosten 1. Jahr'!O19/12,0))</f>
        <v>0</v>
      </c>
      <c r="N7" s="55">
        <f t="shared" si="0"/>
        <v>0</v>
      </c>
      <c r="O7" s="34"/>
      <c r="Q7" s="26">
        <f>IF('Personalkosten 1. Jahr'!F19="",1,IF(EOMONTH('Personalkosten 1. Jahr'!F19,0)=EOMONTH(Startseite!$D$16,0),1,IF(EOMONTH('Personalkosten 1. Jahr'!F19,0)=EOMONTH(Startseite!$D$16,1),2,IF(EOMONTH('Personalkosten 1. Jahr'!F19,0)=EOMONTH(Startseite!$D$16,2),3,IF(EOMONTH('Personalkosten 1. Jahr'!F19,0)=EOMONTH(Startseite!$D$16,3),4,IF(EOMONTH('Personalkosten 1. Jahr'!F19,0)=EOMONTH(Startseite!$D$16,4),5,IF(EOMONTH('Personalkosten 1. Jahr'!F19,0)=EOMONTH(Startseite!$D$16,5),6,IF(EOMONTH('Personalkosten 1. Jahr'!F19,0)=EOMONTH(Startseite!$D$16,6),7,IF(EOMONTH('Personalkosten 1. Jahr'!F19,0)=EOMONTH(Startseite!$D$16,7),8,IF(EOMONTH('Personalkosten 1. Jahr'!F19,0)=EOMONTH(Startseite!$D$16,8),9,IF(EOMONTH('Personalkosten 1. Jahr'!F19,0)=EOMONTH(Startseite!$D$16,9),10,IF(EOMONTH('Personalkosten 1. Jahr'!F19,0)=EOMONTH(Startseite!$D$16,10),11,IF(EOMONTH('Personalkosten 1. Jahr'!F19,0)=EOMONTH(Startseite!$D$16,11),12,"")))))))))))))</f>
        <v>1</v>
      </c>
      <c r="R7" s="26">
        <f>IF('Personalkosten 1. Jahr'!G19="",12,IF(EOMONTH('Personalkosten 1. Jahr'!G19,0)=EOMONTH(Startseite!$D$16,0),1,IF(EOMONTH('Personalkosten 1. Jahr'!G19,0)=EOMONTH(Startseite!$D$16,1),2,IF(EOMONTH('Personalkosten 1. Jahr'!G19,0)=EOMONTH(Startseite!$D$16,2),3,IF(EOMONTH('Personalkosten 1. Jahr'!G19,0)=EOMONTH(Startseite!$D$16,3),4,IF(EOMONTH('Personalkosten 1. Jahr'!G19,0)=EOMONTH(Startseite!$D$16,4),5,IF(EOMONTH('Personalkosten 1. Jahr'!G19,0)=EOMONTH(Startseite!$D$16,5),6,IF(EOMONTH('Personalkosten 1. Jahr'!G19,0)=EOMONTH(Startseite!$D$16,6),7,IF(EOMONTH('Personalkosten 1. Jahr'!G19,0)=EOMONTH(Startseite!$D$16,7),8,IF(EOMONTH('Personalkosten 1. Jahr'!G19,0)=EOMONTH(Startseite!$D$16,8),9,IF(EOMONTH('Personalkosten 1. Jahr'!G19,0)=EOMONTH(Startseite!$D$16,9),10,IF(EOMONTH('Personalkosten 1. Jahr'!G19,0)=EOMONTH(Startseite!$D$16,10),11,IF(EOMONTH('Personalkosten 1. Jahr'!G19,0)=EOMONTH(Startseite!$D$16,11),12,"")))))))))))))</f>
        <v>12</v>
      </c>
    </row>
    <row r="8" spans="1:18">
      <c r="A8" s="32">
        <v>6</v>
      </c>
      <c r="B8" s="54">
        <f>IF(Q8&gt;0,IF(Q8&lt;=Hilfstabelle!$B$2=AND(R8&gt;=Hilfstabelle!$B$2),'Personalkosten 1. Jahr'!O20/(R8-Q8+1),0),IF('Personalkosten 1. Jahr'!E20&gt;0,'Personalkosten 1. Jahr'!O20/12,0))</f>
        <v>0</v>
      </c>
      <c r="C8" s="54">
        <f>IF(Q8&gt;0,IF(Q8&lt;=Hilfstabelle!$C$2=AND(R8&gt;=Hilfstabelle!$C$2),'Personalkosten 1. Jahr'!O20/(R8-Q8+1),0),IF('Personalkosten 1. Jahr'!F20&gt;0,'Personalkosten 1. Jahr'!O20/12,0))</f>
        <v>0</v>
      </c>
      <c r="D8" s="54">
        <f>IF(Q8&gt;0,IF(Q8&lt;=Hilfstabelle!$D$2=AND(R8&gt;=Hilfstabelle!$D$2),'Personalkosten 1. Jahr'!O20/(R8-Q8+1),0),IF('Personalkosten 1. Jahr'!G20&gt;0,'Personalkosten 1. Jahr'!O20/12,0))</f>
        <v>0</v>
      </c>
      <c r="E8" s="54">
        <f>IF(Q8&gt;0,IF(Q8&lt;=Hilfstabelle!$E$2=AND(R8&gt;=Hilfstabelle!$E$2),'Personalkosten 1. Jahr'!O20/(R8-Q8+1),0),IF('Personalkosten 1. Jahr'!H20&gt;0,'Personalkosten 1. Jahr'!O20/12,0))</f>
        <v>0</v>
      </c>
      <c r="F8" s="54">
        <f>IF(Q8&gt;0,IF(Q8&lt;=Hilfstabelle!$F$2=AND(R8&gt;=Hilfstabelle!$F$2),'Personalkosten 1. Jahr'!O20/(R8-Q8+1),0),IF('Personalkosten 1. Jahr'!I20&gt;0,'Personalkosten 1. Jahr'!O20/12,0))</f>
        <v>0</v>
      </c>
      <c r="G8" s="54">
        <f>IF(Q8&gt;0,IF(Q8&lt;=Hilfstabelle!$G$2=AND(R8&gt;=Hilfstabelle!$G$2),'Personalkosten 1. Jahr'!O20/(R8-Q8+1),0),IF('Personalkosten 1. Jahr'!J20&gt;0,'Personalkosten 1. Jahr'!O20/12,0))</f>
        <v>0</v>
      </c>
      <c r="H8" s="54">
        <f>IF(Q8&gt;0,IF(Q8&lt;=Hilfstabelle!$H$2=AND(R8&gt;=Hilfstabelle!$H$2),'Personalkosten 1. Jahr'!O20/(R8-Q8+1),0),IF('Personalkosten 1. Jahr'!K20&gt;0,'Personalkosten 1. Jahr'!O20/12,0))</f>
        <v>0</v>
      </c>
      <c r="I8" s="54">
        <f>IF(Q8&gt;0,IF(Q8&lt;=Hilfstabelle!$I$2=AND(R8&gt;=Hilfstabelle!$I$2),'Personalkosten 1. Jahr'!O20/(R8-Q8+1),0),IF('Personalkosten 1. Jahr'!L20&gt;0,'Personalkosten 1. Jahr'!O20/12,0))</f>
        <v>0</v>
      </c>
      <c r="J8" s="54">
        <f>IF(Q8&gt;0,IF(Q8&lt;=Hilfstabelle!$J$2=AND(R8&gt;=Hilfstabelle!$J$2),'Personalkosten 1. Jahr'!O20/(R8-Q8+1),0),IF('Personalkosten 1. Jahr'!M20&gt;0,'Personalkosten 1. Jahr'!O20/12,0))</f>
        <v>0</v>
      </c>
      <c r="K8" s="54">
        <f>IF(Q8&gt;0,IF(Q8&lt;=Hilfstabelle!$K$2=AND(R8&gt;=Hilfstabelle!$K$2),'Personalkosten 1. Jahr'!O20/(R8-Q8+1),0),IF('Personalkosten 1. Jahr'!N20&gt;0,'Personalkosten 1. Jahr'!O20/12,0))</f>
        <v>0</v>
      </c>
      <c r="L8" s="54">
        <f>IF(Q8&gt;0,IF(Q8&lt;=Hilfstabelle!$L$2=AND(R8&gt;=Hilfstabelle!$L$2),'Personalkosten 1. Jahr'!O20/(R8-Q8+1),0),IF('Personalkosten 1. Jahr'!O20&gt;0,'Personalkosten 1. Jahr'!O20/12,0))</f>
        <v>0</v>
      </c>
      <c r="M8" s="54">
        <f>IF(Q8&gt;0,IF(Q8&lt;=Hilfstabelle!$M$2=AND(R8&gt;=Hilfstabelle!$M$2),'Personalkosten 1. Jahr'!O20/(R8-Q8+1),0),IF('Personalkosten 1. Jahr'!P20&gt;0,'Personalkosten 1. Jahr'!O20/12,0))</f>
        <v>0</v>
      </c>
      <c r="N8" s="55">
        <f t="shared" si="0"/>
        <v>0</v>
      </c>
      <c r="O8" s="34"/>
      <c r="Q8" s="26">
        <f>IF('Personalkosten 1. Jahr'!F20="",1,IF(EOMONTH('Personalkosten 1. Jahr'!F20,0)=EOMONTH(Startseite!$D$16,0),1,IF(EOMONTH('Personalkosten 1. Jahr'!F20,0)=EOMONTH(Startseite!$D$16,1),2,IF(EOMONTH('Personalkosten 1. Jahr'!F20,0)=EOMONTH(Startseite!$D$16,2),3,IF(EOMONTH('Personalkosten 1. Jahr'!F20,0)=EOMONTH(Startseite!$D$16,3),4,IF(EOMONTH('Personalkosten 1. Jahr'!F20,0)=EOMONTH(Startseite!$D$16,4),5,IF(EOMONTH('Personalkosten 1. Jahr'!F20,0)=EOMONTH(Startseite!$D$16,5),6,IF(EOMONTH('Personalkosten 1. Jahr'!F20,0)=EOMONTH(Startseite!$D$16,6),7,IF(EOMONTH('Personalkosten 1. Jahr'!F20,0)=EOMONTH(Startseite!$D$16,7),8,IF(EOMONTH('Personalkosten 1. Jahr'!F20,0)=EOMONTH(Startseite!$D$16,8),9,IF(EOMONTH('Personalkosten 1. Jahr'!F20,0)=EOMONTH(Startseite!$D$16,9),10,IF(EOMONTH('Personalkosten 1. Jahr'!F20,0)=EOMONTH(Startseite!$D$16,10),11,IF(EOMONTH('Personalkosten 1. Jahr'!F20,0)=EOMONTH(Startseite!$D$16,11),12,"")))))))))))))</f>
        <v>1</v>
      </c>
      <c r="R8" s="26">
        <f>IF('Personalkosten 1. Jahr'!G20="",12,IF(EOMONTH('Personalkosten 1. Jahr'!G20,0)=EOMONTH(Startseite!$D$16,0),1,IF(EOMONTH('Personalkosten 1. Jahr'!G20,0)=EOMONTH(Startseite!$D$16,1),2,IF(EOMONTH('Personalkosten 1. Jahr'!G20,0)=EOMONTH(Startseite!$D$16,2),3,IF(EOMONTH('Personalkosten 1. Jahr'!G20,0)=EOMONTH(Startseite!$D$16,3),4,IF(EOMONTH('Personalkosten 1. Jahr'!G20,0)=EOMONTH(Startseite!$D$16,4),5,IF(EOMONTH('Personalkosten 1. Jahr'!G20,0)=EOMONTH(Startseite!$D$16,5),6,IF(EOMONTH('Personalkosten 1. Jahr'!G20,0)=EOMONTH(Startseite!$D$16,6),7,IF(EOMONTH('Personalkosten 1. Jahr'!G20,0)=EOMONTH(Startseite!$D$16,7),8,IF(EOMONTH('Personalkosten 1. Jahr'!G20,0)=EOMONTH(Startseite!$D$16,8),9,IF(EOMONTH('Personalkosten 1. Jahr'!G20,0)=EOMONTH(Startseite!$D$16,9),10,IF(EOMONTH('Personalkosten 1. Jahr'!G20,0)=EOMONTH(Startseite!$D$16,10),11,IF(EOMONTH('Personalkosten 1. Jahr'!G20,0)=EOMONTH(Startseite!$D$16,11),12,"")))))))))))))</f>
        <v>12</v>
      </c>
    </row>
    <row r="9" spans="1:18">
      <c r="A9" s="32">
        <v>7</v>
      </c>
      <c r="B9" s="54">
        <f>IF(Q9&gt;0,IF(Q9&lt;=Hilfstabelle!$B$2=AND(R9&gt;=Hilfstabelle!$B$2),'Personalkosten 1. Jahr'!O21/(R9-Q9+1),0),IF('Personalkosten 1. Jahr'!E21&gt;0,'Personalkosten 1. Jahr'!O21/12,0))</f>
        <v>0</v>
      </c>
      <c r="C9" s="54">
        <f>IF(Q9&gt;0,IF(Q9&lt;=Hilfstabelle!$C$2=AND(R9&gt;=Hilfstabelle!$C$2),'Personalkosten 1. Jahr'!O21/(R9-Q9+1),0),IF('Personalkosten 1. Jahr'!F21&gt;0,'Personalkosten 1. Jahr'!O21/12,0))</f>
        <v>0</v>
      </c>
      <c r="D9" s="54">
        <f>IF(Q9&gt;0,IF(Q9&lt;=Hilfstabelle!$D$2=AND(R9&gt;=Hilfstabelle!$D$2),'Personalkosten 1. Jahr'!O21/(R9-Q9+1),0),IF('Personalkosten 1. Jahr'!G21&gt;0,'Personalkosten 1. Jahr'!O21/12,0))</f>
        <v>0</v>
      </c>
      <c r="E9" s="54">
        <f>IF(Q9&gt;0,IF(Q9&lt;=Hilfstabelle!$E$2=AND(R9&gt;=Hilfstabelle!$E$2),'Personalkosten 1. Jahr'!O21/(R9-Q9+1),0),IF('Personalkosten 1. Jahr'!H21&gt;0,'Personalkosten 1. Jahr'!O21/12,0))</f>
        <v>0</v>
      </c>
      <c r="F9" s="54">
        <f>IF(Q9&gt;0,IF(Q9&lt;=Hilfstabelle!$F$2=AND(R9&gt;=Hilfstabelle!$F$2),'Personalkosten 1. Jahr'!O21/(R9-Q9+1),0),IF('Personalkosten 1. Jahr'!I21&gt;0,'Personalkosten 1. Jahr'!O21/12,0))</f>
        <v>0</v>
      </c>
      <c r="G9" s="54">
        <f>IF(Q9&gt;0,IF(Q9&lt;=Hilfstabelle!$G$2=AND(R9&gt;=Hilfstabelle!$G$2),'Personalkosten 1. Jahr'!O21/(R9-Q9+1),0),IF('Personalkosten 1. Jahr'!J21&gt;0,'Personalkosten 1. Jahr'!O21/12,0))</f>
        <v>0</v>
      </c>
      <c r="H9" s="54">
        <f>IF(Q9&gt;0,IF(Q9&lt;=Hilfstabelle!$H$2=AND(R9&gt;=Hilfstabelle!$H$2),'Personalkosten 1. Jahr'!O21/(R9-Q9+1),0),IF('Personalkosten 1. Jahr'!K21&gt;0,'Personalkosten 1. Jahr'!O21/12,0))</f>
        <v>0</v>
      </c>
      <c r="I9" s="54">
        <f>IF(Q9&gt;0,IF(Q9&lt;=Hilfstabelle!$I$2=AND(R9&gt;=Hilfstabelle!$I$2),'Personalkosten 1. Jahr'!O21/(R9-Q9+1),0),IF('Personalkosten 1. Jahr'!L21&gt;0,'Personalkosten 1. Jahr'!O21/12,0))</f>
        <v>0</v>
      </c>
      <c r="J9" s="54">
        <f>IF(Q9&gt;0,IF(Q9&lt;=Hilfstabelle!$J$2=AND(R9&gt;=Hilfstabelle!$J$2),'Personalkosten 1. Jahr'!O21/(R9-Q9+1),0),IF('Personalkosten 1. Jahr'!M21&gt;0,'Personalkosten 1. Jahr'!O21/12,0))</f>
        <v>0</v>
      </c>
      <c r="K9" s="54">
        <f>IF(Q9&gt;0,IF(Q9&lt;=Hilfstabelle!$K$2=AND(R9&gt;=Hilfstabelle!$K$2),'Personalkosten 1. Jahr'!O21/(R9-Q9+1),0),IF('Personalkosten 1. Jahr'!N21&gt;0,'Personalkosten 1. Jahr'!O21/12,0))</f>
        <v>0</v>
      </c>
      <c r="L9" s="54">
        <f>IF(Q9&gt;0,IF(Q9&lt;=Hilfstabelle!$L$2=AND(R9&gt;=Hilfstabelle!$L$2),'Personalkosten 1. Jahr'!O21/(R9-Q9+1),0),IF('Personalkosten 1. Jahr'!O21&gt;0,'Personalkosten 1. Jahr'!O21/12,0))</f>
        <v>0</v>
      </c>
      <c r="M9" s="54">
        <f>IF(Q9&gt;0,IF(Q9&lt;=Hilfstabelle!$M$2=AND(R9&gt;=Hilfstabelle!$M$2),'Personalkosten 1. Jahr'!O21/(R9-Q9+1),0),IF('Personalkosten 1. Jahr'!P21&gt;0,'Personalkosten 1. Jahr'!O21/12,0))</f>
        <v>0</v>
      </c>
      <c r="N9" s="55">
        <f>SUM(B9:M9)</f>
        <v>0</v>
      </c>
      <c r="O9" s="34"/>
      <c r="Q9" s="26">
        <f>IF('Personalkosten 1. Jahr'!F21="",1,IF(EOMONTH('Personalkosten 1. Jahr'!F21,0)=EOMONTH(Startseite!$D$16,0),1,IF(EOMONTH('Personalkosten 1. Jahr'!F21,0)=EOMONTH(Startseite!$D$16,1),2,IF(EOMONTH('Personalkosten 1. Jahr'!F21,0)=EOMONTH(Startseite!$D$16,2),3,IF(EOMONTH('Personalkosten 1. Jahr'!F21,0)=EOMONTH(Startseite!$D$16,3),4,IF(EOMONTH('Personalkosten 1. Jahr'!F21,0)=EOMONTH(Startseite!$D$16,4),5,IF(EOMONTH('Personalkosten 1. Jahr'!F21,0)=EOMONTH(Startseite!$D$16,5),6,IF(EOMONTH('Personalkosten 1. Jahr'!F21,0)=EOMONTH(Startseite!$D$16,6),7,IF(EOMONTH('Personalkosten 1. Jahr'!F21,0)=EOMONTH(Startseite!$D$16,7),8,IF(EOMONTH('Personalkosten 1. Jahr'!F21,0)=EOMONTH(Startseite!$D$16,8),9,IF(EOMONTH('Personalkosten 1. Jahr'!F21,0)=EOMONTH(Startseite!$D$16,9),10,IF(EOMONTH('Personalkosten 1. Jahr'!F21,0)=EOMONTH(Startseite!$D$16,10),11,IF(EOMONTH('Personalkosten 1. Jahr'!F21,0)=EOMONTH(Startseite!$D$16,11),12,"")))))))))))))</f>
        <v>1</v>
      </c>
      <c r="R9" s="26">
        <f>IF('Personalkosten 1. Jahr'!G21="",12,IF(EOMONTH('Personalkosten 1. Jahr'!G21,0)=EOMONTH(Startseite!$D$16,0),1,IF(EOMONTH('Personalkosten 1. Jahr'!G21,0)=EOMONTH(Startseite!$D$16,1),2,IF(EOMONTH('Personalkosten 1. Jahr'!G21,0)=EOMONTH(Startseite!$D$16,2),3,IF(EOMONTH('Personalkosten 1. Jahr'!G21,0)=EOMONTH(Startseite!$D$16,3),4,IF(EOMONTH('Personalkosten 1. Jahr'!G21,0)=EOMONTH(Startseite!$D$16,4),5,IF(EOMONTH('Personalkosten 1. Jahr'!G21,0)=EOMONTH(Startseite!$D$16,5),6,IF(EOMONTH('Personalkosten 1. Jahr'!G21,0)=EOMONTH(Startseite!$D$16,6),7,IF(EOMONTH('Personalkosten 1. Jahr'!G21,0)=EOMONTH(Startseite!$D$16,7),8,IF(EOMONTH('Personalkosten 1. Jahr'!G21,0)=EOMONTH(Startseite!$D$16,8),9,IF(EOMONTH('Personalkosten 1. Jahr'!G21,0)=EOMONTH(Startseite!$D$16,9),10,IF(EOMONTH('Personalkosten 1. Jahr'!G21,0)=EOMONTH(Startseite!$D$16,10),11,IF(EOMONTH('Personalkosten 1. Jahr'!G21,0)=EOMONTH(Startseite!$D$16,11),12,"")))))))))))))</f>
        <v>12</v>
      </c>
    </row>
    <row r="10" spans="1:18">
      <c r="A10" s="32">
        <v>8</v>
      </c>
      <c r="B10" s="54">
        <f>IF(Q10&gt;0,IF(Q10&lt;=Hilfstabelle!$B$2=AND(R10&gt;=Hilfstabelle!$B$2),'Personalkosten 1. Jahr'!O22/(R10-Q10+1),0),IF('Personalkosten 1. Jahr'!E22&gt;0,'Personalkosten 1. Jahr'!O22/12,0))</f>
        <v>0</v>
      </c>
      <c r="C10" s="54">
        <f>IF(Q10&gt;0,IF(Q10&lt;=Hilfstabelle!$C$2=AND(R10&gt;=Hilfstabelle!$C$2),'Personalkosten 1. Jahr'!O22/(R10-Q10+1),0),IF('Personalkosten 1. Jahr'!F22&gt;0,'Personalkosten 1. Jahr'!O22/12,0))</f>
        <v>0</v>
      </c>
      <c r="D10" s="54">
        <f>IF(Q10&gt;0,IF(Q10&lt;=Hilfstabelle!$D$2=AND(R10&gt;=Hilfstabelle!$D$2),'Personalkosten 1. Jahr'!O22/(R10-Q10+1),0),IF('Personalkosten 1. Jahr'!G22&gt;0,'Personalkosten 1. Jahr'!O22/12,0))</f>
        <v>0</v>
      </c>
      <c r="E10" s="54">
        <f>IF(Q10&gt;0,IF(Q10&lt;=Hilfstabelle!$E$2=AND(R10&gt;=Hilfstabelle!$E$2),'Personalkosten 1. Jahr'!O22/(R10-Q10+1),0),IF('Personalkosten 1. Jahr'!H22&gt;0,'Personalkosten 1. Jahr'!O22/12,0))</f>
        <v>0</v>
      </c>
      <c r="F10" s="54">
        <f>IF(Q10&gt;0,IF(Q10&lt;=Hilfstabelle!$F$2=AND(R10&gt;=Hilfstabelle!$F$2),'Personalkosten 1. Jahr'!O22/(R10-Q10+1),0),IF('Personalkosten 1. Jahr'!I22&gt;0,'Personalkosten 1. Jahr'!O22/12,0))</f>
        <v>0</v>
      </c>
      <c r="G10" s="54">
        <f>IF(Q10&gt;0,IF(Q10&lt;=Hilfstabelle!$G$2=AND(R10&gt;=Hilfstabelle!$G$2),'Personalkosten 1. Jahr'!O22/(R10-Q10+1),0),IF('Personalkosten 1. Jahr'!J22&gt;0,'Personalkosten 1. Jahr'!O22/12,0))</f>
        <v>0</v>
      </c>
      <c r="H10" s="54">
        <f>IF(Q10&gt;0,IF(Q10&lt;=Hilfstabelle!$H$2=AND(R10&gt;=Hilfstabelle!$H$2),'Personalkosten 1. Jahr'!O22/(R10-Q10+1),0),IF('Personalkosten 1. Jahr'!K22&gt;0,'Personalkosten 1. Jahr'!O22/12,0))</f>
        <v>0</v>
      </c>
      <c r="I10" s="54">
        <f>IF(Q10&gt;0,IF(Q10&lt;=Hilfstabelle!$I$2=AND(R10&gt;=Hilfstabelle!$I$2),'Personalkosten 1. Jahr'!O22/(R10-Q10+1),0),IF('Personalkosten 1. Jahr'!L22&gt;0,'Personalkosten 1. Jahr'!O22/12,0))</f>
        <v>0</v>
      </c>
      <c r="J10" s="54">
        <f>IF(Q10&gt;0,IF(Q10&lt;=Hilfstabelle!$J$2=AND(R10&gt;=Hilfstabelle!$J$2),'Personalkosten 1. Jahr'!O22/(R10-Q10+1),0),IF('Personalkosten 1. Jahr'!M22&gt;0,'Personalkosten 1. Jahr'!O22/12,0))</f>
        <v>0</v>
      </c>
      <c r="K10" s="54">
        <f>IF(Q10&gt;0,IF(Q10&lt;=Hilfstabelle!$K$2=AND(R10&gt;=Hilfstabelle!$K$2),'Personalkosten 1. Jahr'!O22/(R10-Q10+1),0),IF('Personalkosten 1. Jahr'!N22&gt;0,'Personalkosten 1. Jahr'!O22/12,0))</f>
        <v>0</v>
      </c>
      <c r="L10" s="54">
        <f>IF(Q10&gt;0,IF(Q10&lt;=Hilfstabelle!$L$2=AND(R10&gt;=Hilfstabelle!$L$2),'Personalkosten 1. Jahr'!O22/(R10-Q10+1),0),IF('Personalkosten 1. Jahr'!O22&gt;0,'Personalkosten 1. Jahr'!O22/12,0))</f>
        <v>0</v>
      </c>
      <c r="M10" s="54">
        <f>IF(Q10&gt;0,IF(Q10&lt;=Hilfstabelle!$M$2=AND(R10&gt;=Hilfstabelle!$M$2),'Personalkosten 1. Jahr'!O22/(R10-Q10+1),0),IF('Personalkosten 1. Jahr'!P22&gt;0,'Personalkosten 1. Jahr'!O22/12,0))</f>
        <v>0</v>
      </c>
      <c r="N10" s="55">
        <f>SUM(B10:M10)</f>
        <v>0</v>
      </c>
      <c r="O10" s="34"/>
      <c r="Q10" s="26">
        <f>IF('Personalkosten 1. Jahr'!F22="",1,IF(EOMONTH('Personalkosten 1. Jahr'!F22,0)=EOMONTH(Startseite!$D$16,0),1,IF(EOMONTH('Personalkosten 1. Jahr'!F22,0)=EOMONTH(Startseite!$D$16,1),2,IF(EOMONTH('Personalkosten 1. Jahr'!F22,0)=EOMONTH(Startseite!$D$16,2),3,IF(EOMONTH('Personalkosten 1. Jahr'!F22,0)=EOMONTH(Startseite!$D$16,3),4,IF(EOMONTH('Personalkosten 1. Jahr'!F22,0)=EOMONTH(Startseite!$D$16,4),5,IF(EOMONTH('Personalkosten 1. Jahr'!F22,0)=EOMONTH(Startseite!$D$16,5),6,IF(EOMONTH('Personalkosten 1. Jahr'!F22,0)=EOMONTH(Startseite!$D$16,6),7,IF(EOMONTH('Personalkosten 1. Jahr'!F22,0)=EOMONTH(Startseite!$D$16,7),8,IF(EOMONTH('Personalkosten 1. Jahr'!F22,0)=EOMONTH(Startseite!$D$16,8),9,IF(EOMONTH('Personalkosten 1. Jahr'!F22,0)=EOMONTH(Startseite!$D$16,9),10,IF(EOMONTH('Personalkosten 1. Jahr'!F22,0)=EOMONTH(Startseite!$D$16,10),11,IF(EOMONTH('Personalkosten 1. Jahr'!F22,0)=EOMONTH(Startseite!$D$16,11),12,"")))))))))))))</f>
        <v>1</v>
      </c>
      <c r="R10" s="26">
        <f>IF('Personalkosten 1. Jahr'!G22="",12,IF(EOMONTH('Personalkosten 1. Jahr'!G22,0)=EOMONTH(Startseite!$D$16,0),1,IF(EOMONTH('Personalkosten 1. Jahr'!G22,0)=EOMONTH(Startseite!$D$16,1),2,IF(EOMONTH('Personalkosten 1. Jahr'!G22,0)=EOMONTH(Startseite!$D$16,2),3,IF(EOMONTH('Personalkosten 1. Jahr'!G22,0)=EOMONTH(Startseite!$D$16,3),4,IF(EOMONTH('Personalkosten 1. Jahr'!G22,0)=EOMONTH(Startseite!$D$16,4),5,IF(EOMONTH('Personalkosten 1. Jahr'!G22,0)=EOMONTH(Startseite!$D$16,5),6,IF(EOMONTH('Personalkosten 1. Jahr'!G22,0)=EOMONTH(Startseite!$D$16,6),7,IF(EOMONTH('Personalkosten 1. Jahr'!G22,0)=EOMONTH(Startseite!$D$16,7),8,IF(EOMONTH('Personalkosten 1. Jahr'!G22,0)=EOMONTH(Startseite!$D$16,8),9,IF(EOMONTH('Personalkosten 1. Jahr'!G22,0)=EOMONTH(Startseite!$D$16,9),10,IF(EOMONTH('Personalkosten 1. Jahr'!G22,0)=EOMONTH(Startseite!$D$16,10),11,IF(EOMONTH('Personalkosten 1. Jahr'!G22,0)=EOMONTH(Startseite!$D$16,11),12,"")))))))))))))</f>
        <v>12</v>
      </c>
    </row>
    <row r="11" spans="1:18">
      <c r="A11" s="32">
        <v>9</v>
      </c>
      <c r="B11" s="54">
        <f>IF(Q11&gt;0,IF(Q11&lt;=Hilfstabelle!$B$2=AND(R11&gt;=Hilfstabelle!$B$2),'Personalkosten 1. Jahr'!O23/(R11-Q11+1),0),IF('Personalkosten 1. Jahr'!E23&gt;0,'Personalkosten 1. Jahr'!O23/12,0))</f>
        <v>0</v>
      </c>
      <c r="C11" s="54">
        <f>IF(Q11&gt;0,IF(Q11&lt;=Hilfstabelle!$C$2=AND(R11&gt;=Hilfstabelle!$C$2),'Personalkosten 1. Jahr'!O23/(R11-Q11+1),0),IF('Personalkosten 1. Jahr'!F23&gt;0,'Personalkosten 1. Jahr'!O23/12,0))</f>
        <v>0</v>
      </c>
      <c r="D11" s="54">
        <f>IF(Q11&gt;0,IF(Q11&lt;=Hilfstabelle!$D$2=AND(R11&gt;=Hilfstabelle!$D$2),'Personalkosten 1. Jahr'!O23/(R11-Q11+1),0),IF('Personalkosten 1. Jahr'!G23&gt;0,'Personalkosten 1. Jahr'!O23/12,0))</f>
        <v>0</v>
      </c>
      <c r="E11" s="54">
        <f>IF(Q11&gt;0,IF(Q11&lt;=Hilfstabelle!$E$2=AND(R11&gt;=Hilfstabelle!$E$2),'Personalkosten 1. Jahr'!O23/(R11-Q11+1),0),IF('Personalkosten 1. Jahr'!H23&gt;0,'Personalkosten 1. Jahr'!O23/12,0))</f>
        <v>0</v>
      </c>
      <c r="F11" s="54">
        <f>IF(Q11&gt;0,IF(Q11&lt;=Hilfstabelle!$F$2=AND(R11&gt;=Hilfstabelle!$F$2),'Personalkosten 1. Jahr'!O23/(R11-Q11+1),0),IF('Personalkosten 1. Jahr'!I23&gt;0,'Personalkosten 1. Jahr'!O23/12,0))</f>
        <v>0</v>
      </c>
      <c r="G11" s="54">
        <f>IF(Q11&gt;0,IF(Q11&lt;=Hilfstabelle!$G$2=AND(R11&gt;=Hilfstabelle!$G$2),'Personalkosten 1. Jahr'!O23/(R11-Q11+1),0),IF('Personalkosten 1. Jahr'!J23&gt;0,'Personalkosten 1. Jahr'!O23/12,0))</f>
        <v>0</v>
      </c>
      <c r="H11" s="54">
        <f>IF(Q11&gt;0,IF(Q11&lt;=Hilfstabelle!$H$2=AND(R11&gt;=Hilfstabelle!$H$2),'Personalkosten 1. Jahr'!O23/(R11-Q11+1),0),IF('Personalkosten 1. Jahr'!K23&gt;0,'Personalkosten 1. Jahr'!O23/12,0))</f>
        <v>0</v>
      </c>
      <c r="I11" s="54">
        <f>IF(Q11&gt;0,IF(Q11&lt;=Hilfstabelle!$I$2=AND(R11&gt;=Hilfstabelle!$I$2),'Personalkosten 1. Jahr'!O23/(R11-Q11+1),0),IF('Personalkosten 1. Jahr'!L23&gt;0,'Personalkosten 1. Jahr'!O23/12,0))</f>
        <v>0</v>
      </c>
      <c r="J11" s="54">
        <f>IF(Q11&gt;0,IF(Q11&lt;=Hilfstabelle!$J$2=AND(R11&gt;=Hilfstabelle!$J$2),'Personalkosten 1. Jahr'!O23/(R11-Q11+1),0),IF('Personalkosten 1. Jahr'!M23&gt;0,'Personalkosten 1. Jahr'!O23/12,0))</f>
        <v>0</v>
      </c>
      <c r="K11" s="54">
        <f>IF(Q11&gt;0,IF(Q11&lt;=Hilfstabelle!$K$2=AND(R11&gt;=Hilfstabelle!$K$2),'Personalkosten 1. Jahr'!O23/(R11-Q11+1),0),IF('Personalkosten 1. Jahr'!N23&gt;0,'Personalkosten 1. Jahr'!O23/12,0))</f>
        <v>0</v>
      </c>
      <c r="L11" s="54">
        <f>IF(Q11&gt;0,IF(Q11&lt;=Hilfstabelle!$L$2=AND(R11&gt;=Hilfstabelle!$L$2),'Personalkosten 1. Jahr'!O23/(R11-Q11+1),0),IF('Personalkosten 1. Jahr'!O23&gt;0,'Personalkosten 1. Jahr'!O23/12,0))</f>
        <v>0</v>
      </c>
      <c r="M11" s="54">
        <f>IF(Q11&gt;0,IF(Q11&lt;=Hilfstabelle!$M$2=AND(R11&gt;=Hilfstabelle!$M$2),'Personalkosten 1. Jahr'!O23/(R11-Q11+1),0),IF('Personalkosten 1. Jahr'!P23&gt;0,'Personalkosten 1. Jahr'!O23/12,0))</f>
        <v>0</v>
      </c>
      <c r="N11" s="55">
        <f t="shared" ref="N11:N20" si="1">SUM(B11:M11)</f>
        <v>0</v>
      </c>
      <c r="O11" s="34"/>
      <c r="Q11" s="26">
        <f>IF('Personalkosten 1. Jahr'!F23="",1,IF(EOMONTH('Personalkosten 1. Jahr'!F23,0)=EOMONTH(Startseite!$D$16,0),1,IF(EOMONTH('Personalkosten 1. Jahr'!F23,0)=EOMONTH(Startseite!$D$16,1),2,IF(EOMONTH('Personalkosten 1. Jahr'!F23,0)=EOMONTH(Startseite!$D$16,2),3,IF(EOMONTH('Personalkosten 1. Jahr'!F23,0)=EOMONTH(Startseite!$D$16,3),4,IF(EOMONTH('Personalkosten 1. Jahr'!F23,0)=EOMONTH(Startseite!$D$16,4),5,IF(EOMONTH('Personalkosten 1. Jahr'!F23,0)=EOMONTH(Startseite!$D$16,5),6,IF(EOMONTH('Personalkosten 1. Jahr'!F23,0)=EOMONTH(Startseite!$D$16,6),7,IF(EOMONTH('Personalkosten 1. Jahr'!F23,0)=EOMONTH(Startseite!$D$16,7),8,IF(EOMONTH('Personalkosten 1. Jahr'!F23,0)=EOMONTH(Startseite!$D$16,8),9,IF(EOMONTH('Personalkosten 1. Jahr'!F23,0)=EOMONTH(Startseite!$D$16,9),10,IF(EOMONTH('Personalkosten 1. Jahr'!F23,0)=EOMONTH(Startseite!$D$16,10),11,IF(EOMONTH('Personalkosten 1. Jahr'!F23,0)=EOMONTH(Startseite!$D$16,11),12,"")))))))))))))</f>
        <v>1</v>
      </c>
      <c r="R11" s="26">
        <f>IF('Personalkosten 1. Jahr'!G23="",12,IF(EOMONTH('Personalkosten 1. Jahr'!G23,0)=EOMONTH(Startseite!$D$16,0),1,IF(EOMONTH('Personalkosten 1. Jahr'!G23,0)=EOMONTH(Startseite!$D$16,1),2,IF(EOMONTH('Personalkosten 1. Jahr'!G23,0)=EOMONTH(Startseite!$D$16,2),3,IF(EOMONTH('Personalkosten 1. Jahr'!G23,0)=EOMONTH(Startseite!$D$16,3),4,IF(EOMONTH('Personalkosten 1. Jahr'!G23,0)=EOMONTH(Startseite!$D$16,4),5,IF(EOMONTH('Personalkosten 1. Jahr'!G23,0)=EOMONTH(Startseite!$D$16,5),6,IF(EOMONTH('Personalkosten 1. Jahr'!G23,0)=EOMONTH(Startseite!$D$16,6),7,IF(EOMONTH('Personalkosten 1. Jahr'!G23,0)=EOMONTH(Startseite!$D$16,7),8,IF(EOMONTH('Personalkosten 1. Jahr'!G23,0)=EOMONTH(Startseite!$D$16,8),9,IF(EOMONTH('Personalkosten 1. Jahr'!G23,0)=EOMONTH(Startseite!$D$16,9),10,IF(EOMONTH('Personalkosten 1. Jahr'!G23,0)=EOMONTH(Startseite!$D$16,10),11,IF(EOMONTH('Personalkosten 1. Jahr'!G23,0)=EOMONTH(Startseite!$D$16,11),12,"")))))))))))))</f>
        <v>12</v>
      </c>
    </row>
    <row r="12" spans="1:18">
      <c r="A12" s="32">
        <v>10</v>
      </c>
      <c r="B12" s="54">
        <f>IF(Q12&gt;0,IF(Q12&lt;=Hilfstabelle!$B$2=AND(R12&gt;=Hilfstabelle!$B$2),'Personalkosten 1. Jahr'!O24/(R12-Q12+1),0),IF('Personalkosten 1. Jahr'!E24&gt;0,'Personalkosten 1. Jahr'!O24/12,0))</f>
        <v>0</v>
      </c>
      <c r="C12" s="54">
        <f>IF(Q12&gt;0,IF(Q12&lt;=Hilfstabelle!$C$2=AND(R12&gt;=Hilfstabelle!$C$2),'Personalkosten 1. Jahr'!O24/(R12-Q12+1),0),IF('Personalkosten 1. Jahr'!F24&gt;0,'Personalkosten 1. Jahr'!O24/12,0))</f>
        <v>0</v>
      </c>
      <c r="D12" s="54">
        <f>IF(Q12&gt;0,IF(Q12&lt;=Hilfstabelle!$D$2=AND(R12&gt;=Hilfstabelle!$D$2),'Personalkosten 1. Jahr'!O24/(R12-Q12+1),0),IF('Personalkosten 1. Jahr'!G24&gt;0,'Personalkosten 1. Jahr'!O24/12,0))</f>
        <v>0</v>
      </c>
      <c r="E12" s="54">
        <f>IF(Q12&gt;0,IF(Q12&lt;=Hilfstabelle!$E$2=AND(R12&gt;=Hilfstabelle!$E$2),'Personalkosten 1. Jahr'!O24/(R12-Q12+1),0),IF('Personalkosten 1. Jahr'!H24&gt;0,'Personalkosten 1. Jahr'!O24/12,0))</f>
        <v>0</v>
      </c>
      <c r="F12" s="54">
        <f>IF(Q12&gt;0,IF(Q12&lt;=Hilfstabelle!$F$2=AND(R12&gt;=Hilfstabelle!$F$2),'Personalkosten 1. Jahr'!O24/(R12-Q12+1),0),IF('Personalkosten 1. Jahr'!I24&gt;0,'Personalkosten 1. Jahr'!O24/12,0))</f>
        <v>0</v>
      </c>
      <c r="G12" s="54">
        <f>IF(Q12&gt;0,IF(Q12&lt;=Hilfstabelle!$G$2=AND(R12&gt;=Hilfstabelle!$G$2),'Personalkosten 1. Jahr'!O24/(R12-Q12+1),0),IF('Personalkosten 1. Jahr'!J24&gt;0,'Personalkosten 1. Jahr'!O24/12,0))</f>
        <v>0</v>
      </c>
      <c r="H12" s="54">
        <f>IF(Q12&gt;0,IF(Q12&lt;=Hilfstabelle!$H$2=AND(R12&gt;=Hilfstabelle!$H$2),'Personalkosten 1. Jahr'!O24/(R12-Q12+1),0),IF('Personalkosten 1. Jahr'!K24&gt;0,'Personalkosten 1. Jahr'!O24/12,0))</f>
        <v>0</v>
      </c>
      <c r="I12" s="54">
        <f>IF(Q12&gt;0,IF(Q12&lt;=Hilfstabelle!$I$2=AND(R12&gt;=Hilfstabelle!$I$2),'Personalkosten 1. Jahr'!O24/(R12-Q12+1),0),IF('Personalkosten 1. Jahr'!L24&gt;0,'Personalkosten 1. Jahr'!O24/12,0))</f>
        <v>0</v>
      </c>
      <c r="J12" s="54">
        <f>IF(Q12&gt;0,IF(Q12&lt;=Hilfstabelle!$J$2=AND(R12&gt;=Hilfstabelle!$J$2),'Personalkosten 1. Jahr'!O24/(R12-Q12+1),0),IF('Personalkosten 1. Jahr'!M24&gt;0,'Personalkosten 1. Jahr'!O24/12,0))</f>
        <v>0</v>
      </c>
      <c r="K12" s="54">
        <f>IF(Q12&gt;0,IF(Q12&lt;=Hilfstabelle!$K$2=AND(R12&gt;=Hilfstabelle!$K$2),'Personalkosten 1. Jahr'!O24/(R12-Q12+1),0),IF('Personalkosten 1. Jahr'!N24&gt;0,'Personalkosten 1. Jahr'!O24/12,0))</f>
        <v>0</v>
      </c>
      <c r="L12" s="54">
        <f>IF(Q12&gt;0,IF(Q12&lt;=Hilfstabelle!$L$2=AND(R12&gt;=Hilfstabelle!$L$2),'Personalkosten 1. Jahr'!O24/(R12-Q12+1),0),IF('Personalkosten 1. Jahr'!O24&gt;0,'Personalkosten 1. Jahr'!O24/12,0))</f>
        <v>0</v>
      </c>
      <c r="M12" s="54">
        <f>IF(Q12&gt;0,IF(Q12&lt;=Hilfstabelle!$M$2=AND(R12&gt;=Hilfstabelle!$M$2),'Personalkosten 1. Jahr'!O24/(R12-Q12+1),0),IF('Personalkosten 1. Jahr'!P24&gt;0,'Personalkosten 1. Jahr'!O24/12,0))</f>
        <v>0</v>
      </c>
      <c r="N12" s="55">
        <f t="shared" si="1"/>
        <v>0</v>
      </c>
      <c r="O12" s="34"/>
      <c r="Q12" s="26">
        <f>IF('Personalkosten 1. Jahr'!F24="",1,IF(EOMONTH('Personalkosten 1. Jahr'!F24,0)=EOMONTH(Startseite!$D$16,0),1,IF(EOMONTH('Personalkosten 1. Jahr'!F24,0)=EOMONTH(Startseite!$D$16,1),2,IF(EOMONTH('Personalkosten 1. Jahr'!F24,0)=EOMONTH(Startseite!$D$16,2),3,IF(EOMONTH('Personalkosten 1. Jahr'!F24,0)=EOMONTH(Startseite!$D$16,3),4,IF(EOMONTH('Personalkosten 1. Jahr'!F24,0)=EOMONTH(Startseite!$D$16,4),5,IF(EOMONTH('Personalkosten 1. Jahr'!F24,0)=EOMONTH(Startseite!$D$16,5),6,IF(EOMONTH('Personalkosten 1. Jahr'!F24,0)=EOMONTH(Startseite!$D$16,6),7,IF(EOMONTH('Personalkosten 1. Jahr'!F24,0)=EOMONTH(Startseite!$D$16,7),8,IF(EOMONTH('Personalkosten 1. Jahr'!F24,0)=EOMONTH(Startseite!$D$16,8),9,IF(EOMONTH('Personalkosten 1. Jahr'!F24,0)=EOMONTH(Startseite!$D$16,9),10,IF(EOMONTH('Personalkosten 1. Jahr'!F24,0)=EOMONTH(Startseite!$D$16,10),11,IF(EOMONTH('Personalkosten 1. Jahr'!F24,0)=EOMONTH(Startseite!$D$16,11),12,"")))))))))))))</f>
        <v>1</v>
      </c>
      <c r="R12" s="26">
        <f>IF('Personalkosten 1. Jahr'!G24="",12,IF(EOMONTH('Personalkosten 1. Jahr'!G24,0)=EOMONTH(Startseite!$D$16,0),1,IF(EOMONTH('Personalkosten 1. Jahr'!G24,0)=EOMONTH(Startseite!$D$16,1),2,IF(EOMONTH('Personalkosten 1. Jahr'!G24,0)=EOMONTH(Startseite!$D$16,2),3,IF(EOMONTH('Personalkosten 1. Jahr'!G24,0)=EOMONTH(Startseite!$D$16,3),4,IF(EOMONTH('Personalkosten 1. Jahr'!G24,0)=EOMONTH(Startseite!$D$16,4),5,IF(EOMONTH('Personalkosten 1. Jahr'!G24,0)=EOMONTH(Startseite!$D$16,5),6,IF(EOMONTH('Personalkosten 1. Jahr'!G24,0)=EOMONTH(Startseite!$D$16,6),7,IF(EOMONTH('Personalkosten 1. Jahr'!G24,0)=EOMONTH(Startseite!$D$16,7),8,IF(EOMONTH('Personalkosten 1. Jahr'!G24,0)=EOMONTH(Startseite!$D$16,8),9,IF(EOMONTH('Personalkosten 1. Jahr'!G24,0)=EOMONTH(Startseite!$D$16,9),10,IF(EOMONTH('Personalkosten 1. Jahr'!G24,0)=EOMONTH(Startseite!$D$16,10),11,IF(EOMONTH('Personalkosten 1. Jahr'!G24,0)=EOMONTH(Startseite!$D$16,11),12,"")))))))))))))</f>
        <v>12</v>
      </c>
    </row>
    <row r="13" spans="1:18">
      <c r="A13" s="32">
        <v>11</v>
      </c>
      <c r="B13" s="54">
        <f>IF(Q13&gt;0,IF(Q13&lt;=Hilfstabelle!$B$2=AND(R13&gt;=Hilfstabelle!$B$2),'Personalkosten 1. Jahr'!O25/(R13-Q13+1),0),IF('Personalkosten 1. Jahr'!E25&gt;0,'Personalkosten 1. Jahr'!O25/12,0))</f>
        <v>0</v>
      </c>
      <c r="C13" s="54">
        <f>IF(Q13&gt;0,IF(Q13&lt;=Hilfstabelle!$C$2=AND(R13&gt;=Hilfstabelle!$C$2),'Personalkosten 1. Jahr'!O25/(R13-Q13+1),0),IF('Personalkosten 1. Jahr'!F25&gt;0,'Personalkosten 1. Jahr'!O25/12,0))</f>
        <v>0</v>
      </c>
      <c r="D13" s="54">
        <f>IF(Q13&gt;0,IF(Q13&lt;=Hilfstabelle!$D$2=AND(R13&gt;=Hilfstabelle!$D$2),'Personalkosten 1. Jahr'!O25/(R13-Q13+1),0),IF('Personalkosten 1. Jahr'!G25&gt;0,'Personalkosten 1. Jahr'!O25/12,0))</f>
        <v>0</v>
      </c>
      <c r="E13" s="54">
        <f>IF(Q13&gt;0,IF(Q13&lt;=Hilfstabelle!$E$2=AND(R13&gt;=Hilfstabelle!$E$2),'Personalkosten 1. Jahr'!O25/(R13-Q13+1),0),IF('Personalkosten 1. Jahr'!H25&gt;0,'Personalkosten 1. Jahr'!O25/12,0))</f>
        <v>0</v>
      </c>
      <c r="F13" s="54">
        <f>IF(Q13&gt;0,IF(Q13&lt;=Hilfstabelle!$F$2=AND(R13&gt;=Hilfstabelle!$F$2),'Personalkosten 1. Jahr'!O25/(R13-Q13+1),0),IF('Personalkosten 1. Jahr'!I25&gt;0,'Personalkosten 1. Jahr'!O25/12,0))</f>
        <v>0</v>
      </c>
      <c r="G13" s="54">
        <f>IF(Q13&gt;0,IF(Q13&lt;=Hilfstabelle!$G$2=AND(R13&gt;=Hilfstabelle!$G$2),'Personalkosten 1. Jahr'!O25/(R13-Q13+1),0),IF('Personalkosten 1. Jahr'!J25&gt;0,'Personalkosten 1. Jahr'!O25/12,0))</f>
        <v>0</v>
      </c>
      <c r="H13" s="54">
        <f>IF(Q13&gt;0,IF(Q13&lt;=Hilfstabelle!$H$2=AND(R13&gt;=Hilfstabelle!$H$2),'Personalkosten 1. Jahr'!O25/(R13-Q13+1),0),IF('Personalkosten 1. Jahr'!K25&gt;0,'Personalkosten 1. Jahr'!O25/12,0))</f>
        <v>0</v>
      </c>
      <c r="I13" s="54">
        <f>IF(Q13&gt;0,IF(Q13&lt;=Hilfstabelle!$I$2=AND(R13&gt;=Hilfstabelle!$I$2),'Personalkosten 1. Jahr'!O25/(R13-Q13+1),0),IF('Personalkosten 1. Jahr'!L25&gt;0,'Personalkosten 1. Jahr'!O25/12,0))</f>
        <v>0</v>
      </c>
      <c r="J13" s="54">
        <f>IF(Q13&gt;0,IF(Q13&lt;=Hilfstabelle!$J$2=AND(R13&gt;=Hilfstabelle!$J$2),'Personalkosten 1. Jahr'!O25/(R13-Q13+1),0),IF('Personalkosten 1. Jahr'!M25&gt;0,'Personalkosten 1. Jahr'!O25/12,0))</f>
        <v>0</v>
      </c>
      <c r="K13" s="54">
        <f>IF(Q13&gt;0,IF(Q13&lt;=Hilfstabelle!$K$2=AND(R13&gt;=Hilfstabelle!$K$2),'Personalkosten 1. Jahr'!O25/(R13-Q13+1),0),IF('Personalkosten 1. Jahr'!N25&gt;0,'Personalkosten 1. Jahr'!O25/12,0))</f>
        <v>0</v>
      </c>
      <c r="L13" s="54">
        <f>IF(Q13&gt;0,IF(Q13&lt;=Hilfstabelle!$L$2=AND(R13&gt;=Hilfstabelle!$L$2),'Personalkosten 1. Jahr'!O25/(R13-Q13+1),0),IF('Personalkosten 1. Jahr'!O25&gt;0,'Personalkosten 1. Jahr'!O25/12,0))</f>
        <v>0</v>
      </c>
      <c r="M13" s="54">
        <f>IF(Q13&gt;0,IF(Q13&lt;=Hilfstabelle!$M$2=AND(R13&gt;=Hilfstabelle!$M$2),'Personalkosten 1. Jahr'!O25/(R13-Q13+1),0),IF('Personalkosten 1. Jahr'!P25&gt;0,'Personalkosten 1. Jahr'!O25/12,0))</f>
        <v>0</v>
      </c>
      <c r="N13" s="55">
        <f t="shared" si="1"/>
        <v>0</v>
      </c>
      <c r="O13" s="34"/>
      <c r="Q13" s="26">
        <f>IF('Personalkosten 1. Jahr'!F25="",1,IF(EOMONTH('Personalkosten 1. Jahr'!F25,0)=EOMONTH(Startseite!$D$16,0),1,IF(EOMONTH('Personalkosten 1. Jahr'!F25,0)=EOMONTH(Startseite!$D$16,1),2,IF(EOMONTH('Personalkosten 1. Jahr'!F25,0)=EOMONTH(Startseite!$D$16,2),3,IF(EOMONTH('Personalkosten 1. Jahr'!F25,0)=EOMONTH(Startseite!$D$16,3),4,IF(EOMONTH('Personalkosten 1. Jahr'!F25,0)=EOMONTH(Startseite!$D$16,4),5,IF(EOMONTH('Personalkosten 1. Jahr'!F25,0)=EOMONTH(Startseite!$D$16,5),6,IF(EOMONTH('Personalkosten 1. Jahr'!F25,0)=EOMONTH(Startseite!$D$16,6),7,IF(EOMONTH('Personalkosten 1. Jahr'!F25,0)=EOMONTH(Startseite!$D$16,7),8,IF(EOMONTH('Personalkosten 1. Jahr'!F25,0)=EOMONTH(Startseite!$D$16,8),9,IF(EOMONTH('Personalkosten 1. Jahr'!F25,0)=EOMONTH(Startseite!$D$16,9),10,IF(EOMONTH('Personalkosten 1. Jahr'!F25,0)=EOMONTH(Startseite!$D$16,10),11,IF(EOMONTH('Personalkosten 1. Jahr'!F25,0)=EOMONTH(Startseite!$D$16,11),12,"")))))))))))))</f>
        <v>1</v>
      </c>
      <c r="R13" s="26">
        <f>IF('Personalkosten 1. Jahr'!G25="",12,IF(EOMONTH('Personalkosten 1. Jahr'!G25,0)=EOMONTH(Startseite!$D$16,0),1,IF(EOMONTH('Personalkosten 1. Jahr'!G25,0)=EOMONTH(Startseite!$D$16,1),2,IF(EOMONTH('Personalkosten 1. Jahr'!G25,0)=EOMONTH(Startseite!$D$16,2),3,IF(EOMONTH('Personalkosten 1. Jahr'!G25,0)=EOMONTH(Startseite!$D$16,3),4,IF(EOMONTH('Personalkosten 1. Jahr'!G25,0)=EOMONTH(Startseite!$D$16,4),5,IF(EOMONTH('Personalkosten 1. Jahr'!G25,0)=EOMONTH(Startseite!$D$16,5),6,IF(EOMONTH('Personalkosten 1. Jahr'!G25,0)=EOMONTH(Startseite!$D$16,6),7,IF(EOMONTH('Personalkosten 1. Jahr'!G25,0)=EOMONTH(Startseite!$D$16,7),8,IF(EOMONTH('Personalkosten 1. Jahr'!G25,0)=EOMONTH(Startseite!$D$16,8),9,IF(EOMONTH('Personalkosten 1. Jahr'!G25,0)=EOMONTH(Startseite!$D$16,9),10,IF(EOMONTH('Personalkosten 1. Jahr'!G25,0)=EOMONTH(Startseite!$D$16,10),11,IF(EOMONTH('Personalkosten 1. Jahr'!G25,0)=EOMONTH(Startseite!$D$16,11),12,"")))))))))))))</f>
        <v>12</v>
      </c>
    </row>
    <row r="14" spans="1:18">
      <c r="A14" s="32">
        <v>12</v>
      </c>
      <c r="B14" s="54">
        <f>IF(Q14&gt;0,IF(Q14&lt;=Hilfstabelle!$B$2=AND(R14&gt;=Hilfstabelle!$B$2),'Personalkosten 1. Jahr'!O26/(R14-Q14+1),0),IF('Personalkosten 1. Jahr'!E26&gt;0,'Personalkosten 1. Jahr'!O26/12,0))</f>
        <v>0</v>
      </c>
      <c r="C14" s="54">
        <f>IF(Q14&gt;0,IF(Q14&lt;=Hilfstabelle!$C$2=AND(R14&gt;=Hilfstabelle!$C$2),'Personalkosten 1. Jahr'!O26/(R14-Q14+1),0),IF('Personalkosten 1. Jahr'!F26&gt;0,'Personalkosten 1. Jahr'!O26/12,0))</f>
        <v>0</v>
      </c>
      <c r="D14" s="54">
        <f>IF(Q14&gt;0,IF(Q14&lt;=Hilfstabelle!$D$2=AND(R14&gt;=Hilfstabelle!$D$2),'Personalkosten 1. Jahr'!O26/(R14-Q14+1),0),IF('Personalkosten 1. Jahr'!G26&gt;0,'Personalkosten 1. Jahr'!O26/12,0))</f>
        <v>0</v>
      </c>
      <c r="E14" s="54">
        <f>IF(Q14&gt;0,IF(Q14&lt;=Hilfstabelle!$E$2=AND(R14&gt;=Hilfstabelle!$E$2),'Personalkosten 1. Jahr'!O26/(R14-Q14+1),0),IF('Personalkosten 1. Jahr'!H26&gt;0,'Personalkosten 1. Jahr'!O26/12,0))</f>
        <v>0</v>
      </c>
      <c r="F14" s="54">
        <f>IF(Q14&gt;0,IF(Q14&lt;=Hilfstabelle!$F$2=AND(R14&gt;=Hilfstabelle!$F$2),'Personalkosten 1. Jahr'!O26/(R14-Q14+1),0),IF('Personalkosten 1. Jahr'!I26&gt;0,'Personalkosten 1. Jahr'!O26/12,0))</f>
        <v>0</v>
      </c>
      <c r="G14" s="54">
        <f>IF(Q14&gt;0,IF(Q14&lt;=Hilfstabelle!$G$2=AND(R14&gt;=Hilfstabelle!$G$2),'Personalkosten 1. Jahr'!O26/(R14-Q14+1),0),IF('Personalkosten 1. Jahr'!J26&gt;0,'Personalkosten 1. Jahr'!O26/12,0))</f>
        <v>0</v>
      </c>
      <c r="H14" s="54">
        <f>IF(Q14&gt;0,IF(Q14&lt;=Hilfstabelle!$H$2=AND(R14&gt;=Hilfstabelle!$H$2),'Personalkosten 1. Jahr'!O26/(R14-Q14+1),0),IF('Personalkosten 1. Jahr'!K26&gt;0,'Personalkosten 1. Jahr'!O26/12,0))</f>
        <v>0</v>
      </c>
      <c r="I14" s="54">
        <f>IF(Q14&gt;0,IF(Q14&lt;=Hilfstabelle!$I$2=AND(R14&gt;=Hilfstabelle!$I$2),'Personalkosten 1. Jahr'!O26/(R14-Q14+1),0),IF('Personalkosten 1. Jahr'!L26&gt;0,'Personalkosten 1. Jahr'!O26/12,0))</f>
        <v>0</v>
      </c>
      <c r="J14" s="54">
        <f>IF(Q14&gt;0,IF(Q14&lt;=Hilfstabelle!$J$2=AND(R14&gt;=Hilfstabelle!$J$2),'Personalkosten 1. Jahr'!O26/(R14-Q14+1),0),IF('Personalkosten 1. Jahr'!M26&gt;0,'Personalkosten 1. Jahr'!O26/12,0))</f>
        <v>0</v>
      </c>
      <c r="K14" s="54">
        <f>IF(Q14&gt;0,IF(Q14&lt;=Hilfstabelle!$K$2=AND(R14&gt;=Hilfstabelle!$K$2),'Personalkosten 1. Jahr'!O26/(R14-Q14+1),0),IF('Personalkosten 1. Jahr'!N26&gt;0,'Personalkosten 1. Jahr'!O26/12,0))</f>
        <v>0</v>
      </c>
      <c r="L14" s="54">
        <f>IF(Q14&gt;0,IF(Q14&lt;=Hilfstabelle!$L$2=AND(R14&gt;=Hilfstabelle!$L$2),'Personalkosten 1. Jahr'!O26/(R14-Q14+1),0),IF('Personalkosten 1. Jahr'!O26&gt;0,'Personalkosten 1. Jahr'!O26/12,0))</f>
        <v>0</v>
      </c>
      <c r="M14" s="54">
        <f>IF(Q14&gt;0,IF(Q14&lt;=Hilfstabelle!$M$2=AND(R14&gt;=Hilfstabelle!$M$2),'Personalkosten 1. Jahr'!O26/(R14-Q14+1),0),IF('Personalkosten 1. Jahr'!P26&gt;0,'Personalkosten 1. Jahr'!O26/12,0))</f>
        <v>0</v>
      </c>
      <c r="N14" s="55">
        <f t="shared" si="1"/>
        <v>0</v>
      </c>
      <c r="O14" s="34"/>
      <c r="Q14" s="26">
        <f>IF('Personalkosten 1. Jahr'!F26="",1,IF(EOMONTH('Personalkosten 1. Jahr'!F26,0)=EOMONTH(Startseite!$D$16,0),1,IF(EOMONTH('Personalkosten 1. Jahr'!F26,0)=EOMONTH(Startseite!$D$16,1),2,IF(EOMONTH('Personalkosten 1. Jahr'!F26,0)=EOMONTH(Startseite!$D$16,2),3,IF(EOMONTH('Personalkosten 1. Jahr'!F26,0)=EOMONTH(Startseite!$D$16,3),4,IF(EOMONTH('Personalkosten 1. Jahr'!F26,0)=EOMONTH(Startseite!$D$16,4),5,IF(EOMONTH('Personalkosten 1. Jahr'!F26,0)=EOMONTH(Startseite!$D$16,5),6,IF(EOMONTH('Personalkosten 1. Jahr'!F26,0)=EOMONTH(Startseite!$D$16,6),7,IF(EOMONTH('Personalkosten 1. Jahr'!F26,0)=EOMONTH(Startseite!$D$16,7),8,IF(EOMONTH('Personalkosten 1. Jahr'!F26,0)=EOMONTH(Startseite!$D$16,8),9,IF(EOMONTH('Personalkosten 1. Jahr'!F26,0)=EOMONTH(Startseite!$D$16,9),10,IF(EOMONTH('Personalkosten 1. Jahr'!F26,0)=EOMONTH(Startseite!$D$16,10),11,IF(EOMONTH('Personalkosten 1. Jahr'!F26,0)=EOMONTH(Startseite!$D$16,11),12,"")))))))))))))</f>
        <v>1</v>
      </c>
      <c r="R14" s="26">
        <f>IF('Personalkosten 1. Jahr'!G26="",12,IF(EOMONTH('Personalkosten 1. Jahr'!G26,0)=EOMONTH(Startseite!$D$16,0),1,IF(EOMONTH('Personalkosten 1. Jahr'!G26,0)=EOMONTH(Startseite!$D$16,1),2,IF(EOMONTH('Personalkosten 1. Jahr'!G26,0)=EOMONTH(Startseite!$D$16,2),3,IF(EOMONTH('Personalkosten 1. Jahr'!G26,0)=EOMONTH(Startseite!$D$16,3),4,IF(EOMONTH('Personalkosten 1. Jahr'!G26,0)=EOMONTH(Startseite!$D$16,4),5,IF(EOMONTH('Personalkosten 1. Jahr'!G26,0)=EOMONTH(Startseite!$D$16,5),6,IF(EOMONTH('Personalkosten 1. Jahr'!G26,0)=EOMONTH(Startseite!$D$16,6),7,IF(EOMONTH('Personalkosten 1. Jahr'!G26,0)=EOMONTH(Startseite!$D$16,7),8,IF(EOMONTH('Personalkosten 1. Jahr'!G26,0)=EOMONTH(Startseite!$D$16,8),9,IF(EOMONTH('Personalkosten 1. Jahr'!G26,0)=EOMONTH(Startseite!$D$16,9),10,IF(EOMONTH('Personalkosten 1. Jahr'!G26,0)=EOMONTH(Startseite!$D$16,10),11,IF(EOMONTH('Personalkosten 1. Jahr'!G26,0)=EOMONTH(Startseite!$D$16,11),12,"")))))))))))))</f>
        <v>12</v>
      </c>
    </row>
    <row r="15" spans="1:18">
      <c r="A15" s="32">
        <v>13</v>
      </c>
      <c r="B15" s="54">
        <f>IF(Q15&gt;0,IF(Q15&lt;=Hilfstabelle!$B$2=AND(R15&gt;=Hilfstabelle!$B$2),'Personalkosten 1. Jahr'!O27/(R15-Q15+1),0),IF('Personalkosten 1. Jahr'!E27&gt;0,'Personalkosten 1. Jahr'!O27/12,0))</f>
        <v>0</v>
      </c>
      <c r="C15" s="54">
        <f>IF(Q15&gt;0,IF(Q15&lt;=Hilfstabelle!$C$2=AND(R15&gt;=Hilfstabelle!$C$2),'Personalkosten 1. Jahr'!O27/(R15-Q15+1),0),IF('Personalkosten 1. Jahr'!F27&gt;0,'Personalkosten 1. Jahr'!O27/12,0))</f>
        <v>0</v>
      </c>
      <c r="D15" s="54">
        <f>IF(Q15&gt;0,IF(Q15&lt;=Hilfstabelle!$D$2=AND(R15&gt;=Hilfstabelle!$D$2),'Personalkosten 1. Jahr'!O27/(R15-Q15+1),0),IF('Personalkosten 1. Jahr'!G27&gt;0,'Personalkosten 1. Jahr'!O27/12,0))</f>
        <v>0</v>
      </c>
      <c r="E15" s="54">
        <f>IF(Q15&gt;0,IF(Q15&lt;=Hilfstabelle!$E$2=AND(R15&gt;=Hilfstabelle!$E$2),'Personalkosten 1. Jahr'!O27/(R15-Q15+1),0),IF('Personalkosten 1. Jahr'!H27&gt;0,'Personalkosten 1. Jahr'!O27/12,0))</f>
        <v>0</v>
      </c>
      <c r="F15" s="54">
        <f>IF(Q15&gt;0,IF(Q15&lt;=Hilfstabelle!$F$2=AND(R15&gt;=Hilfstabelle!$F$2),'Personalkosten 1. Jahr'!O27/(R15-Q15+1),0),IF('Personalkosten 1. Jahr'!I27&gt;0,'Personalkosten 1. Jahr'!O27/12,0))</f>
        <v>0</v>
      </c>
      <c r="G15" s="54">
        <f>IF(Q15&gt;0,IF(Q15&lt;=Hilfstabelle!$G$2=AND(R15&gt;=Hilfstabelle!$G$2),'Personalkosten 1. Jahr'!O27/(R15-Q15+1),0),IF('Personalkosten 1. Jahr'!J27&gt;0,'Personalkosten 1. Jahr'!O27/12,0))</f>
        <v>0</v>
      </c>
      <c r="H15" s="54">
        <f>IF(Q15&gt;0,IF(Q15&lt;=Hilfstabelle!$H$2=AND(R15&gt;=Hilfstabelle!$H$2),'Personalkosten 1. Jahr'!O27/(R15-Q15+1),0),IF('Personalkosten 1. Jahr'!K27&gt;0,'Personalkosten 1. Jahr'!O27/12,0))</f>
        <v>0</v>
      </c>
      <c r="I15" s="54">
        <f>IF(Q15&gt;0,IF(Q15&lt;=Hilfstabelle!$I$2=AND(R15&gt;=Hilfstabelle!$I$2),'Personalkosten 1. Jahr'!O27/(R15-Q15+1),0),IF('Personalkosten 1. Jahr'!L27&gt;0,'Personalkosten 1. Jahr'!O27/12,0))</f>
        <v>0</v>
      </c>
      <c r="J15" s="54">
        <f>IF(Q15&gt;0,IF(Q15&lt;=Hilfstabelle!$J$2=AND(R15&gt;=Hilfstabelle!$J$2),'Personalkosten 1. Jahr'!O27/(R15-Q15+1),0),IF('Personalkosten 1. Jahr'!M27&gt;0,'Personalkosten 1. Jahr'!O27/12,0))</f>
        <v>0</v>
      </c>
      <c r="K15" s="54">
        <f>IF(Q15&gt;0,IF(Q15&lt;=Hilfstabelle!$K$2=AND(R15&gt;=Hilfstabelle!$K$2),'Personalkosten 1. Jahr'!O27/(R15-Q15+1),0),IF('Personalkosten 1. Jahr'!N27&gt;0,'Personalkosten 1. Jahr'!O27/12,0))</f>
        <v>0</v>
      </c>
      <c r="L15" s="54">
        <f>IF(Q15&gt;0,IF(Q15&lt;=Hilfstabelle!$L$2=AND(R15&gt;=Hilfstabelle!$L$2),'Personalkosten 1. Jahr'!O27/(R15-Q15+1),0),IF('Personalkosten 1. Jahr'!O27&gt;0,'Personalkosten 1. Jahr'!O27/12,0))</f>
        <v>0</v>
      </c>
      <c r="M15" s="54">
        <f>IF(Q15&gt;0,IF(Q15&lt;=Hilfstabelle!$M$2=AND(R15&gt;=Hilfstabelle!$M$2),'Personalkosten 1. Jahr'!O27/(R15-Q15+1),0),IF('Personalkosten 1. Jahr'!P27&gt;0,'Personalkosten 1. Jahr'!O27/12,0))</f>
        <v>0</v>
      </c>
      <c r="N15" s="55">
        <f t="shared" si="1"/>
        <v>0</v>
      </c>
      <c r="O15" s="34"/>
      <c r="Q15" s="26">
        <f>IF('Personalkosten 1. Jahr'!F27="",1,IF(EOMONTH('Personalkosten 1. Jahr'!F27,0)=EOMONTH(Startseite!$D$16,0),1,IF(EOMONTH('Personalkosten 1. Jahr'!F27,0)=EOMONTH(Startseite!$D$16,1),2,IF(EOMONTH('Personalkosten 1. Jahr'!F27,0)=EOMONTH(Startseite!$D$16,2),3,IF(EOMONTH('Personalkosten 1. Jahr'!F27,0)=EOMONTH(Startseite!$D$16,3),4,IF(EOMONTH('Personalkosten 1. Jahr'!F27,0)=EOMONTH(Startseite!$D$16,4),5,IF(EOMONTH('Personalkosten 1. Jahr'!F27,0)=EOMONTH(Startseite!$D$16,5),6,IF(EOMONTH('Personalkosten 1. Jahr'!F27,0)=EOMONTH(Startseite!$D$16,6),7,IF(EOMONTH('Personalkosten 1. Jahr'!F27,0)=EOMONTH(Startseite!$D$16,7),8,IF(EOMONTH('Personalkosten 1. Jahr'!F27,0)=EOMONTH(Startseite!$D$16,8),9,IF(EOMONTH('Personalkosten 1. Jahr'!F27,0)=EOMONTH(Startseite!$D$16,9),10,IF(EOMONTH('Personalkosten 1. Jahr'!F27,0)=EOMONTH(Startseite!$D$16,10),11,IF(EOMONTH('Personalkosten 1. Jahr'!F27,0)=EOMONTH(Startseite!$D$16,11),12,"")))))))))))))</f>
        <v>1</v>
      </c>
      <c r="R15" s="26">
        <f>IF('Personalkosten 1. Jahr'!G27="",12,IF(EOMONTH('Personalkosten 1. Jahr'!G27,0)=EOMONTH(Startseite!$D$16,0),1,IF(EOMONTH('Personalkosten 1. Jahr'!G27,0)=EOMONTH(Startseite!$D$16,1),2,IF(EOMONTH('Personalkosten 1. Jahr'!G27,0)=EOMONTH(Startseite!$D$16,2),3,IF(EOMONTH('Personalkosten 1. Jahr'!G27,0)=EOMONTH(Startseite!$D$16,3),4,IF(EOMONTH('Personalkosten 1. Jahr'!G27,0)=EOMONTH(Startseite!$D$16,4),5,IF(EOMONTH('Personalkosten 1. Jahr'!G27,0)=EOMONTH(Startseite!$D$16,5),6,IF(EOMONTH('Personalkosten 1. Jahr'!G27,0)=EOMONTH(Startseite!$D$16,6),7,IF(EOMONTH('Personalkosten 1. Jahr'!G27,0)=EOMONTH(Startseite!$D$16,7),8,IF(EOMONTH('Personalkosten 1. Jahr'!G27,0)=EOMONTH(Startseite!$D$16,8),9,IF(EOMONTH('Personalkosten 1. Jahr'!G27,0)=EOMONTH(Startseite!$D$16,9),10,IF(EOMONTH('Personalkosten 1. Jahr'!G27,0)=EOMONTH(Startseite!$D$16,10),11,IF(EOMONTH('Personalkosten 1. Jahr'!G27,0)=EOMONTH(Startseite!$D$16,11),12,"")))))))))))))</f>
        <v>12</v>
      </c>
    </row>
    <row r="16" spans="1:18">
      <c r="A16" s="32">
        <v>14</v>
      </c>
      <c r="B16" s="54">
        <f>IF(Q16&gt;0,IF(Q16&lt;=Hilfstabelle!$B$2=AND(R16&gt;=Hilfstabelle!$B$2),'Personalkosten 1. Jahr'!O28/(R16-Q16+1),0),IF('Personalkosten 1. Jahr'!E28&gt;0,'Personalkosten 1. Jahr'!O28/12,0))</f>
        <v>0</v>
      </c>
      <c r="C16" s="54">
        <f>IF(Q16&gt;0,IF(Q16&lt;=Hilfstabelle!$C$2=AND(R16&gt;=Hilfstabelle!$C$2),'Personalkosten 1. Jahr'!O28/(R16-Q16+1),0),IF('Personalkosten 1. Jahr'!F28&gt;0,'Personalkosten 1. Jahr'!O28/12,0))</f>
        <v>0</v>
      </c>
      <c r="D16" s="54">
        <f>IF(Q16&gt;0,IF(Q16&lt;=Hilfstabelle!$D$2=AND(R16&gt;=Hilfstabelle!$D$2),'Personalkosten 1. Jahr'!O28/(R16-Q16+1),0),IF('Personalkosten 1. Jahr'!G28&gt;0,'Personalkosten 1. Jahr'!O28/12,0))</f>
        <v>0</v>
      </c>
      <c r="E16" s="54">
        <f>IF(Q16&gt;0,IF(Q16&lt;=Hilfstabelle!$E$2=AND(R16&gt;=Hilfstabelle!$E$2),'Personalkosten 1. Jahr'!O28/(R16-Q16+1),0),IF('Personalkosten 1. Jahr'!H28&gt;0,'Personalkosten 1. Jahr'!O28/12,0))</f>
        <v>0</v>
      </c>
      <c r="F16" s="54">
        <f>IF(Q16&gt;0,IF(Q16&lt;=Hilfstabelle!$F$2=AND(R16&gt;=Hilfstabelle!$F$2),'Personalkosten 1. Jahr'!O28/(R16-Q16+1),0),IF('Personalkosten 1. Jahr'!I28&gt;0,'Personalkosten 1. Jahr'!O28/12,0))</f>
        <v>0</v>
      </c>
      <c r="G16" s="54">
        <f>IF(Q16&gt;0,IF(Q16&lt;=Hilfstabelle!$G$2=AND(R16&gt;=Hilfstabelle!$G$2),'Personalkosten 1. Jahr'!O28/(R16-Q16+1),0),IF('Personalkosten 1. Jahr'!J28&gt;0,'Personalkosten 1. Jahr'!O28/12,0))</f>
        <v>0</v>
      </c>
      <c r="H16" s="54">
        <f>IF(Q16&gt;0,IF(Q16&lt;=Hilfstabelle!$H$2=AND(R16&gt;=Hilfstabelle!$H$2),'Personalkosten 1. Jahr'!O28/(R16-Q16+1),0),IF('Personalkosten 1. Jahr'!K28&gt;0,'Personalkosten 1. Jahr'!O28/12,0))</f>
        <v>0</v>
      </c>
      <c r="I16" s="54">
        <f>IF(Q16&gt;0,IF(Q16&lt;=Hilfstabelle!$I$2=AND(R16&gt;=Hilfstabelle!$I$2),'Personalkosten 1. Jahr'!O28/(R16-Q16+1),0),IF('Personalkosten 1. Jahr'!L28&gt;0,'Personalkosten 1. Jahr'!O28/12,0))</f>
        <v>0</v>
      </c>
      <c r="J16" s="54">
        <f>IF(Q16&gt;0,IF(Q16&lt;=Hilfstabelle!$J$2=AND(R16&gt;=Hilfstabelle!$J$2),'Personalkosten 1. Jahr'!O28/(R16-Q16+1),0),IF('Personalkosten 1. Jahr'!M28&gt;0,'Personalkosten 1. Jahr'!O28/12,0))</f>
        <v>0</v>
      </c>
      <c r="K16" s="54">
        <f>IF(Q16&gt;0,IF(Q16&lt;=Hilfstabelle!$K$2=AND(R16&gt;=Hilfstabelle!$K$2),'Personalkosten 1. Jahr'!O28/(R16-Q16+1),0),IF('Personalkosten 1. Jahr'!N28&gt;0,'Personalkosten 1. Jahr'!O28/12,0))</f>
        <v>0</v>
      </c>
      <c r="L16" s="54">
        <f>IF(Q16&gt;0,IF(Q16&lt;=Hilfstabelle!$L$2=AND(R16&gt;=Hilfstabelle!$L$2),'Personalkosten 1. Jahr'!O28/(R16-Q16+1),0),IF('Personalkosten 1. Jahr'!O28&gt;0,'Personalkosten 1. Jahr'!O28/12,0))</f>
        <v>0</v>
      </c>
      <c r="M16" s="54">
        <f>IF(Q16&gt;0,IF(Q16&lt;=Hilfstabelle!$M$2=AND(R16&gt;=Hilfstabelle!$M$2),'Personalkosten 1. Jahr'!O28/(R16-Q16+1),0),IF('Personalkosten 1. Jahr'!P28&gt;0,'Personalkosten 1. Jahr'!O28/12,0))</f>
        <v>0</v>
      </c>
      <c r="N16" s="55">
        <f t="shared" si="1"/>
        <v>0</v>
      </c>
      <c r="O16" s="34"/>
      <c r="Q16" s="26">
        <f>IF('Personalkosten 1. Jahr'!F28="",1,IF(EOMONTH('Personalkosten 1. Jahr'!F28,0)=EOMONTH(Startseite!$D$16,0),1,IF(EOMONTH('Personalkosten 1. Jahr'!F28,0)=EOMONTH(Startseite!$D$16,1),2,IF(EOMONTH('Personalkosten 1. Jahr'!F28,0)=EOMONTH(Startseite!$D$16,2),3,IF(EOMONTH('Personalkosten 1. Jahr'!F28,0)=EOMONTH(Startseite!$D$16,3),4,IF(EOMONTH('Personalkosten 1. Jahr'!F28,0)=EOMONTH(Startseite!$D$16,4),5,IF(EOMONTH('Personalkosten 1. Jahr'!F28,0)=EOMONTH(Startseite!$D$16,5),6,IF(EOMONTH('Personalkosten 1. Jahr'!F28,0)=EOMONTH(Startseite!$D$16,6),7,IF(EOMONTH('Personalkosten 1. Jahr'!F28,0)=EOMONTH(Startseite!$D$16,7),8,IF(EOMONTH('Personalkosten 1. Jahr'!F28,0)=EOMONTH(Startseite!$D$16,8),9,IF(EOMONTH('Personalkosten 1. Jahr'!F28,0)=EOMONTH(Startseite!$D$16,9),10,IF(EOMONTH('Personalkosten 1. Jahr'!F28,0)=EOMONTH(Startseite!$D$16,10),11,IF(EOMONTH('Personalkosten 1. Jahr'!F28,0)=EOMONTH(Startseite!$D$16,11),12,"")))))))))))))</f>
        <v>1</v>
      </c>
      <c r="R16" s="26">
        <f>IF('Personalkosten 1. Jahr'!G28="",12,IF(EOMONTH('Personalkosten 1. Jahr'!G28,0)=EOMONTH(Startseite!$D$16,0),1,IF(EOMONTH('Personalkosten 1. Jahr'!G28,0)=EOMONTH(Startseite!$D$16,1),2,IF(EOMONTH('Personalkosten 1. Jahr'!G28,0)=EOMONTH(Startseite!$D$16,2),3,IF(EOMONTH('Personalkosten 1. Jahr'!G28,0)=EOMONTH(Startseite!$D$16,3),4,IF(EOMONTH('Personalkosten 1. Jahr'!G28,0)=EOMONTH(Startseite!$D$16,4),5,IF(EOMONTH('Personalkosten 1. Jahr'!G28,0)=EOMONTH(Startseite!$D$16,5),6,IF(EOMONTH('Personalkosten 1. Jahr'!G28,0)=EOMONTH(Startseite!$D$16,6),7,IF(EOMONTH('Personalkosten 1. Jahr'!G28,0)=EOMONTH(Startseite!$D$16,7),8,IF(EOMONTH('Personalkosten 1. Jahr'!G28,0)=EOMONTH(Startseite!$D$16,8),9,IF(EOMONTH('Personalkosten 1. Jahr'!G28,0)=EOMONTH(Startseite!$D$16,9),10,IF(EOMONTH('Personalkosten 1. Jahr'!G28,0)=EOMONTH(Startseite!$D$16,10),11,IF(EOMONTH('Personalkosten 1. Jahr'!G28,0)=EOMONTH(Startseite!$D$16,11),12,"")))))))))))))</f>
        <v>12</v>
      </c>
    </row>
    <row r="17" spans="1:18">
      <c r="A17" s="32">
        <v>15</v>
      </c>
      <c r="B17" s="54">
        <f>IF(Q17&gt;0,IF(Q17&lt;=Hilfstabelle!$B$2=AND(R17&gt;=Hilfstabelle!$B$2),'Personalkosten 1. Jahr'!O29/(R17-Q17+1),0),IF('Personalkosten 1. Jahr'!E29&gt;0,'Personalkosten 1. Jahr'!O29/12,0))</f>
        <v>0</v>
      </c>
      <c r="C17" s="54">
        <f>IF(Q17&gt;0,IF(Q17&lt;=Hilfstabelle!$C$2=AND(R17&gt;=Hilfstabelle!$C$2),'Personalkosten 1. Jahr'!O29/(R17-Q17+1),0),IF('Personalkosten 1. Jahr'!F29&gt;0,'Personalkosten 1. Jahr'!O29/12,0))</f>
        <v>0</v>
      </c>
      <c r="D17" s="54">
        <f>IF(Q17&gt;0,IF(Q17&lt;=Hilfstabelle!$D$2=AND(R17&gt;=Hilfstabelle!$D$2),'Personalkosten 1. Jahr'!O29/(R17-Q17+1),0),IF('Personalkosten 1. Jahr'!G29&gt;0,'Personalkosten 1. Jahr'!O29/12,0))</f>
        <v>0</v>
      </c>
      <c r="E17" s="54">
        <f>IF(Q17&gt;0,IF(Q17&lt;=Hilfstabelle!$E$2=AND(R17&gt;=Hilfstabelle!$E$2),'Personalkosten 1. Jahr'!O29/(R17-Q17+1),0),IF('Personalkosten 1. Jahr'!H29&gt;0,'Personalkosten 1. Jahr'!O29/12,0))</f>
        <v>0</v>
      </c>
      <c r="F17" s="54">
        <f>IF(Q17&gt;0,IF(Q17&lt;=Hilfstabelle!$F$2=AND(R17&gt;=Hilfstabelle!$F$2),'Personalkosten 1. Jahr'!O29/(R17-Q17+1),0),IF('Personalkosten 1. Jahr'!I29&gt;0,'Personalkosten 1. Jahr'!O29/12,0))</f>
        <v>0</v>
      </c>
      <c r="G17" s="54">
        <f>IF(Q17&gt;0,IF(Q17&lt;=Hilfstabelle!$G$2=AND(R17&gt;=Hilfstabelle!$G$2),'Personalkosten 1. Jahr'!O29/(R17-Q17+1),0),IF('Personalkosten 1. Jahr'!J29&gt;0,'Personalkosten 1. Jahr'!O29/12,0))</f>
        <v>0</v>
      </c>
      <c r="H17" s="54">
        <f>IF(Q17&gt;0,IF(Q17&lt;=Hilfstabelle!$H$2=AND(R17&gt;=Hilfstabelle!$H$2),'Personalkosten 1. Jahr'!O29/(R17-Q17+1),0),IF('Personalkosten 1. Jahr'!K29&gt;0,'Personalkosten 1. Jahr'!O29/12,0))</f>
        <v>0</v>
      </c>
      <c r="I17" s="54">
        <f>IF(Q17&gt;0,IF(Q17&lt;=Hilfstabelle!$I$2=AND(R17&gt;=Hilfstabelle!$I$2),'Personalkosten 1. Jahr'!O29/(R17-Q17+1),0),IF('Personalkosten 1. Jahr'!L29&gt;0,'Personalkosten 1. Jahr'!O29/12,0))</f>
        <v>0</v>
      </c>
      <c r="J17" s="54">
        <f>IF(Q17&gt;0,IF(Q17&lt;=Hilfstabelle!$J$2=AND(R17&gt;=Hilfstabelle!$J$2),'Personalkosten 1. Jahr'!O29/(R17-Q17+1),0),IF('Personalkosten 1. Jahr'!M29&gt;0,'Personalkosten 1. Jahr'!O29/12,0))</f>
        <v>0</v>
      </c>
      <c r="K17" s="54">
        <f>IF(Q17&gt;0,IF(Q17&lt;=Hilfstabelle!$K$2=AND(R17&gt;=Hilfstabelle!$K$2),'Personalkosten 1. Jahr'!O29/(R17-Q17+1),0),IF('Personalkosten 1. Jahr'!N29&gt;0,'Personalkosten 1. Jahr'!O29/12,0))</f>
        <v>0</v>
      </c>
      <c r="L17" s="54">
        <f>IF(Q17&gt;0,IF(Q17&lt;=Hilfstabelle!$L$2=AND(R17&gt;=Hilfstabelle!$L$2),'Personalkosten 1. Jahr'!O29/(R17-Q17+1),0),IF('Personalkosten 1. Jahr'!O29&gt;0,'Personalkosten 1. Jahr'!O29/12,0))</f>
        <v>0</v>
      </c>
      <c r="M17" s="54">
        <f>IF(Q17&gt;0,IF(Q17&lt;=Hilfstabelle!$M$2=AND(R17&gt;=Hilfstabelle!$M$2),'Personalkosten 1. Jahr'!O29/(R17-Q17+1),0),IF('Personalkosten 1. Jahr'!P29&gt;0,'Personalkosten 1. Jahr'!O29/12,0))</f>
        <v>0</v>
      </c>
      <c r="N17" s="55">
        <f t="shared" si="1"/>
        <v>0</v>
      </c>
      <c r="O17" s="34"/>
      <c r="Q17" s="26">
        <f>IF('Personalkosten 1. Jahr'!F29="",1,IF(EOMONTH('Personalkosten 1. Jahr'!F29,0)=EOMONTH(Startseite!$D$16,0),1,IF(EOMONTH('Personalkosten 1. Jahr'!F29,0)=EOMONTH(Startseite!$D$16,1),2,IF(EOMONTH('Personalkosten 1. Jahr'!F29,0)=EOMONTH(Startseite!$D$16,2),3,IF(EOMONTH('Personalkosten 1. Jahr'!F29,0)=EOMONTH(Startseite!$D$16,3),4,IF(EOMONTH('Personalkosten 1. Jahr'!F29,0)=EOMONTH(Startseite!$D$16,4),5,IF(EOMONTH('Personalkosten 1. Jahr'!F29,0)=EOMONTH(Startseite!$D$16,5),6,IF(EOMONTH('Personalkosten 1. Jahr'!F29,0)=EOMONTH(Startseite!$D$16,6),7,IF(EOMONTH('Personalkosten 1. Jahr'!F29,0)=EOMONTH(Startseite!$D$16,7),8,IF(EOMONTH('Personalkosten 1. Jahr'!F29,0)=EOMONTH(Startseite!$D$16,8),9,IF(EOMONTH('Personalkosten 1. Jahr'!F29,0)=EOMONTH(Startseite!$D$16,9),10,IF(EOMONTH('Personalkosten 1. Jahr'!F29,0)=EOMONTH(Startseite!$D$16,10),11,IF(EOMONTH('Personalkosten 1. Jahr'!F29,0)=EOMONTH(Startseite!$D$16,11),12,"")))))))))))))</f>
        <v>1</v>
      </c>
      <c r="R17" s="26">
        <f>IF('Personalkosten 1. Jahr'!G29="",12,IF(EOMONTH('Personalkosten 1. Jahr'!G29,0)=EOMONTH(Startseite!$D$16,0),1,IF(EOMONTH('Personalkosten 1. Jahr'!G29,0)=EOMONTH(Startseite!$D$16,1),2,IF(EOMONTH('Personalkosten 1. Jahr'!G29,0)=EOMONTH(Startseite!$D$16,2),3,IF(EOMONTH('Personalkosten 1. Jahr'!G29,0)=EOMONTH(Startseite!$D$16,3),4,IF(EOMONTH('Personalkosten 1. Jahr'!G29,0)=EOMONTH(Startseite!$D$16,4),5,IF(EOMONTH('Personalkosten 1. Jahr'!G29,0)=EOMONTH(Startseite!$D$16,5),6,IF(EOMONTH('Personalkosten 1. Jahr'!G29,0)=EOMONTH(Startseite!$D$16,6),7,IF(EOMONTH('Personalkosten 1. Jahr'!G29,0)=EOMONTH(Startseite!$D$16,7),8,IF(EOMONTH('Personalkosten 1. Jahr'!G29,0)=EOMONTH(Startseite!$D$16,8),9,IF(EOMONTH('Personalkosten 1. Jahr'!G29,0)=EOMONTH(Startseite!$D$16,9),10,IF(EOMONTH('Personalkosten 1. Jahr'!G29,0)=EOMONTH(Startseite!$D$16,10),11,IF(EOMONTH('Personalkosten 1. Jahr'!G29,0)=EOMONTH(Startseite!$D$16,11),12,"")))))))))))))</f>
        <v>12</v>
      </c>
    </row>
    <row r="18" spans="1:18">
      <c r="A18" s="32">
        <v>16</v>
      </c>
      <c r="B18" s="54">
        <f>IF(Q18&gt;0,IF(Q18&lt;=Hilfstabelle!$B$2=AND(R18&gt;=Hilfstabelle!$B$2),'Personalkosten 1. Jahr'!O30/(R18-Q18+1),0),IF('Personalkosten 1. Jahr'!E30&gt;0,'Personalkosten 1. Jahr'!O30/12,0))</f>
        <v>0</v>
      </c>
      <c r="C18" s="54">
        <f>IF(Q18&gt;0,IF(Q18&lt;=Hilfstabelle!$C$2=AND(R18&gt;=Hilfstabelle!$C$2),'Personalkosten 1. Jahr'!O30/(R18-Q18+1),0),IF('Personalkosten 1. Jahr'!F30&gt;0,'Personalkosten 1. Jahr'!O30/12,0))</f>
        <v>0</v>
      </c>
      <c r="D18" s="54">
        <f>IF(Q18&gt;0,IF(Q18&lt;=Hilfstabelle!$D$2=AND(R18&gt;=Hilfstabelle!$D$2),'Personalkosten 1. Jahr'!O30/(R18-Q18+1),0),IF('Personalkosten 1. Jahr'!G30&gt;0,'Personalkosten 1. Jahr'!O30/12,0))</f>
        <v>0</v>
      </c>
      <c r="E18" s="54">
        <f>IF(Q18&gt;0,IF(Q18&lt;=Hilfstabelle!$E$2=AND(R18&gt;=Hilfstabelle!$E$2),'Personalkosten 1. Jahr'!O30/(R18-Q18+1),0),IF('Personalkosten 1. Jahr'!H30&gt;0,'Personalkosten 1. Jahr'!O30/12,0))</f>
        <v>0</v>
      </c>
      <c r="F18" s="54">
        <f>IF(Q18&gt;0,IF(Q18&lt;=Hilfstabelle!$F$2=AND(R18&gt;=Hilfstabelle!$F$2),'Personalkosten 1. Jahr'!O30/(R18-Q18+1),0),IF('Personalkosten 1. Jahr'!I30&gt;0,'Personalkosten 1. Jahr'!O30/12,0))</f>
        <v>0</v>
      </c>
      <c r="G18" s="54">
        <f>IF(Q18&gt;0,IF(Q18&lt;=Hilfstabelle!$G$2=AND(R18&gt;=Hilfstabelle!$G$2),'Personalkosten 1. Jahr'!O30/(R18-Q18+1),0),IF('Personalkosten 1. Jahr'!J30&gt;0,'Personalkosten 1. Jahr'!O30/12,0))</f>
        <v>0</v>
      </c>
      <c r="H18" s="54">
        <f>IF(Q18&gt;0,IF(Q18&lt;=Hilfstabelle!$H$2=AND(R18&gt;=Hilfstabelle!$H$2),'Personalkosten 1. Jahr'!O30/(R18-Q18+1),0),IF('Personalkosten 1. Jahr'!K30&gt;0,'Personalkosten 1. Jahr'!O30/12,0))</f>
        <v>0</v>
      </c>
      <c r="I18" s="54">
        <f>IF(Q18&gt;0,IF(Q18&lt;=Hilfstabelle!$I$2=AND(R18&gt;=Hilfstabelle!$I$2),'Personalkosten 1. Jahr'!O30/(R18-Q18+1),0),IF('Personalkosten 1. Jahr'!L30&gt;0,'Personalkosten 1. Jahr'!O30/12,0))</f>
        <v>0</v>
      </c>
      <c r="J18" s="54">
        <f>IF(Q18&gt;0,IF(Q18&lt;=Hilfstabelle!$J$2=AND(R18&gt;=Hilfstabelle!$J$2),'Personalkosten 1. Jahr'!O30/(R18-Q18+1),0),IF('Personalkosten 1. Jahr'!M30&gt;0,'Personalkosten 1. Jahr'!O30/12,0))</f>
        <v>0</v>
      </c>
      <c r="K18" s="54">
        <f>IF(Q18&gt;0,IF(Q18&lt;=Hilfstabelle!$K$2=AND(R18&gt;=Hilfstabelle!$K$2),'Personalkosten 1. Jahr'!O30/(R18-Q18+1),0),IF('Personalkosten 1. Jahr'!N30&gt;0,'Personalkosten 1. Jahr'!O30/12,0))</f>
        <v>0</v>
      </c>
      <c r="L18" s="54">
        <f>IF(Q18&gt;0,IF(Q18&lt;=Hilfstabelle!$L$2=AND(R18&gt;=Hilfstabelle!$L$2),'Personalkosten 1. Jahr'!O30/(R18-Q18+1),0),IF('Personalkosten 1. Jahr'!O30&gt;0,'Personalkosten 1. Jahr'!O30/12,0))</f>
        <v>0</v>
      </c>
      <c r="M18" s="54">
        <f>IF(Q18&gt;0,IF(Q18&lt;=Hilfstabelle!$M$2=AND(R18&gt;=Hilfstabelle!$M$2),'Personalkosten 1. Jahr'!O30/(R18-Q18+1),0),IF('Personalkosten 1. Jahr'!P30&gt;0,'Personalkosten 1. Jahr'!O30/12,0))</f>
        <v>0</v>
      </c>
      <c r="N18" s="55">
        <f t="shared" si="1"/>
        <v>0</v>
      </c>
      <c r="O18" s="34"/>
      <c r="Q18" s="26">
        <f>IF('Personalkosten 1. Jahr'!F30="",1,IF(EOMONTH('Personalkosten 1. Jahr'!F30,0)=EOMONTH(Startseite!$D$16,0),1,IF(EOMONTH('Personalkosten 1. Jahr'!F30,0)=EOMONTH(Startseite!$D$16,1),2,IF(EOMONTH('Personalkosten 1. Jahr'!F30,0)=EOMONTH(Startseite!$D$16,2),3,IF(EOMONTH('Personalkosten 1. Jahr'!F30,0)=EOMONTH(Startseite!$D$16,3),4,IF(EOMONTH('Personalkosten 1. Jahr'!F30,0)=EOMONTH(Startseite!$D$16,4),5,IF(EOMONTH('Personalkosten 1. Jahr'!F30,0)=EOMONTH(Startseite!$D$16,5),6,IF(EOMONTH('Personalkosten 1. Jahr'!F30,0)=EOMONTH(Startseite!$D$16,6),7,IF(EOMONTH('Personalkosten 1. Jahr'!F30,0)=EOMONTH(Startseite!$D$16,7),8,IF(EOMONTH('Personalkosten 1. Jahr'!F30,0)=EOMONTH(Startseite!$D$16,8),9,IF(EOMONTH('Personalkosten 1. Jahr'!F30,0)=EOMONTH(Startseite!$D$16,9),10,IF(EOMONTH('Personalkosten 1. Jahr'!F30,0)=EOMONTH(Startseite!$D$16,10),11,IF(EOMONTH('Personalkosten 1. Jahr'!F30,0)=EOMONTH(Startseite!$D$16,11),12,"")))))))))))))</f>
        <v>1</v>
      </c>
      <c r="R18" s="26">
        <f>IF('Personalkosten 1. Jahr'!G30="",12,IF(EOMONTH('Personalkosten 1. Jahr'!G30,0)=EOMONTH(Startseite!$D$16,0),1,IF(EOMONTH('Personalkosten 1. Jahr'!G30,0)=EOMONTH(Startseite!$D$16,1),2,IF(EOMONTH('Personalkosten 1. Jahr'!G30,0)=EOMONTH(Startseite!$D$16,2),3,IF(EOMONTH('Personalkosten 1. Jahr'!G30,0)=EOMONTH(Startseite!$D$16,3),4,IF(EOMONTH('Personalkosten 1. Jahr'!G30,0)=EOMONTH(Startseite!$D$16,4),5,IF(EOMONTH('Personalkosten 1. Jahr'!G30,0)=EOMONTH(Startseite!$D$16,5),6,IF(EOMONTH('Personalkosten 1. Jahr'!G30,0)=EOMONTH(Startseite!$D$16,6),7,IF(EOMONTH('Personalkosten 1. Jahr'!G30,0)=EOMONTH(Startseite!$D$16,7),8,IF(EOMONTH('Personalkosten 1. Jahr'!G30,0)=EOMONTH(Startseite!$D$16,8),9,IF(EOMONTH('Personalkosten 1. Jahr'!G30,0)=EOMONTH(Startseite!$D$16,9),10,IF(EOMONTH('Personalkosten 1. Jahr'!G30,0)=EOMONTH(Startseite!$D$16,10),11,IF(EOMONTH('Personalkosten 1. Jahr'!G30,0)=EOMONTH(Startseite!$D$16,11),12,"")))))))))))))</f>
        <v>12</v>
      </c>
    </row>
    <row r="19" spans="1:18">
      <c r="A19" s="32">
        <v>17</v>
      </c>
      <c r="B19" s="54">
        <f>IF(Q19&gt;0,IF(Q19&lt;=Hilfstabelle!$B$2=AND(R19&gt;=Hilfstabelle!$B$2),'Personalkosten 1. Jahr'!O31/(R19-Q19+1),0),IF('Personalkosten 1. Jahr'!E31&gt;0,'Personalkosten 1. Jahr'!O31/12,0))</f>
        <v>0</v>
      </c>
      <c r="C19" s="54">
        <f>IF(Q19&gt;0,IF(Q19&lt;=Hilfstabelle!$C$2=AND(R19&gt;=Hilfstabelle!$C$2),'Personalkosten 1. Jahr'!O31/(R19-Q19+1),0),IF('Personalkosten 1. Jahr'!F31&gt;0,'Personalkosten 1. Jahr'!O31/12,0))</f>
        <v>0</v>
      </c>
      <c r="D19" s="54">
        <f>IF(Q19&gt;0,IF(Q19&lt;=Hilfstabelle!$D$2=AND(R19&gt;=Hilfstabelle!$D$2),'Personalkosten 1. Jahr'!O31/(R19-Q19+1),0),IF('Personalkosten 1. Jahr'!G31&gt;0,'Personalkosten 1. Jahr'!O31/12,0))</f>
        <v>0</v>
      </c>
      <c r="E19" s="54">
        <f>IF(Q19&gt;0,IF(Q19&lt;=Hilfstabelle!$E$2=AND(R19&gt;=Hilfstabelle!$E$2),'Personalkosten 1. Jahr'!O31/(R19-Q19+1),0),IF('Personalkosten 1. Jahr'!H31&gt;0,'Personalkosten 1. Jahr'!O31/12,0))</f>
        <v>0</v>
      </c>
      <c r="F19" s="54">
        <f>IF(Q19&gt;0,IF(Q19&lt;=Hilfstabelle!$F$2=AND(R19&gt;=Hilfstabelle!$F$2),'Personalkosten 1. Jahr'!O31/(R19-Q19+1),0),IF('Personalkosten 1. Jahr'!I31&gt;0,'Personalkosten 1. Jahr'!O31/12,0))</f>
        <v>0</v>
      </c>
      <c r="G19" s="54">
        <f>IF(Q19&gt;0,IF(Q19&lt;=Hilfstabelle!$G$2=AND(R19&gt;=Hilfstabelle!$G$2),'Personalkosten 1. Jahr'!O31/(R19-Q19+1),0),IF('Personalkosten 1. Jahr'!J31&gt;0,'Personalkosten 1. Jahr'!O31/12,0))</f>
        <v>0</v>
      </c>
      <c r="H19" s="54">
        <f>IF(Q19&gt;0,IF(Q19&lt;=Hilfstabelle!$H$2=AND(R19&gt;=Hilfstabelle!$H$2),'Personalkosten 1. Jahr'!O31/(R19-Q19+1),0),IF('Personalkosten 1. Jahr'!K31&gt;0,'Personalkosten 1. Jahr'!O31/12,0))</f>
        <v>0</v>
      </c>
      <c r="I19" s="54">
        <f>IF(Q19&gt;0,IF(Q19&lt;=Hilfstabelle!$I$2=AND(R19&gt;=Hilfstabelle!$I$2),'Personalkosten 1. Jahr'!O31/(R19-Q19+1),0),IF('Personalkosten 1. Jahr'!L31&gt;0,'Personalkosten 1. Jahr'!O31/12,0))</f>
        <v>0</v>
      </c>
      <c r="J19" s="54">
        <f>IF(Q19&gt;0,IF(Q19&lt;=Hilfstabelle!$J$2=AND(R19&gt;=Hilfstabelle!$J$2),'Personalkosten 1. Jahr'!O31/(R19-Q19+1),0),IF('Personalkosten 1. Jahr'!M31&gt;0,'Personalkosten 1. Jahr'!O31/12,0))</f>
        <v>0</v>
      </c>
      <c r="K19" s="54">
        <f>IF(Q19&gt;0,IF(Q19&lt;=Hilfstabelle!$K$2=AND(R19&gt;=Hilfstabelle!$K$2),'Personalkosten 1. Jahr'!O31/(R19-Q19+1),0),IF('Personalkosten 1. Jahr'!N31&gt;0,'Personalkosten 1. Jahr'!O31/12,0))</f>
        <v>0</v>
      </c>
      <c r="L19" s="54">
        <f>IF(Q19&gt;0,IF(Q19&lt;=Hilfstabelle!$L$2=AND(R19&gt;=Hilfstabelle!$L$2),'Personalkosten 1. Jahr'!O31/(R19-Q19+1),0),IF('Personalkosten 1. Jahr'!O31&gt;0,'Personalkosten 1. Jahr'!O31/12,0))</f>
        <v>0</v>
      </c>
      <c r="M19" s="54">
        <f>IF(Q19&gt;0,IF(Q19&lt;=Hilfstabelle!$M$2=AND(R19&gt;=Hilfstabelle!$M$2),'Personalkosten 1. Jahr'!O31/(R19-Q19+1),0),IF('Personalkosten 1. Jahr'!P31&gt;0,'Personalkosten 1. Jahr'!O31/12,0))</f>
        <v>0</v>
      </c>
      <c r="N19" s="55">
        <f t="shared" si="1"/>
        <v>0</v>
      </c>
      <c r="O19" s="34"/>
      <c r="Q19" s="26">
        <f>IF('Personalkosten 1. Jahr'!F31="",1,IF(EOMONTH('Personalkosten 1. Jahr'!F31,0)=EOMONTH(Startseite!$D$16,0),1,IF(EOMONTH('Personalkosten 1. Jahr'!F31,0)=EOMONTH(Startseite!$D$16,1),2,IF(EOMONTH('Personalkosten 1. Jahr'!F31,0)=EOMONTH(Startseite!$D$16,2),3,IF(EOMONTH('Personalkosten 1. Jahr'!F31,0)=EOMONTH(Startseite!$D$16,3),4,IF(EOMONTH('Personalkosten 1. Jahr'!F31,0)=EOMONTH(Startseite!$D$16,4),5,IF(EOMONTH('Personalkosten 1. Jahr'!F31,0)=EOMONTH(Startseite!$D$16,5),6,IF(EOMONTH('Personalkosten 1. Jahr'!F31,0)=EOMONTH(Startseite!$D$16,6),7,IF(EOMONTH('Personalkosten 1. Jahr'!F31,0)=EOMONTH(Startseite!$D$16,7),8,IF(EOMONTH('Personalkosten 1. Jahr'!F31,0)=EOMONTH(Startseite!$D$16,8),9,IF(EOMONTH('Personalkosten 1. Jahr'!F31,0)=EOMONTH(Startseite!$D$16,9),10,IF(EOMONTH('Personalkosten 1. Jahr'!F31,0)=EOMONTH(Startseite!$D$16,10),11,IF(EOMONTH('Personalkosten 1. Jahr'!F31,0)=EOMONTH(Startseite!$D$16,11),12,"")))))))))))))</f>
        <v>1</v>
      </c>
      <c r="R19" s="26">
        <f>IF('Personalkosten 1. Jahr'!G31="",12,IF(EOMONTH('Personalkosten 1. Jahr'!G31,0)=EOMONTH(Startseite!$D$16,0),1,IF(EOMONTH('Personalkosten 1. Jahr'!G31,0)=EOMONTH(Startseite!$D$16,1),2,IF(EOMONTH('Personalkosten 1. Jahr'!G31,0)=EOMONTH(Startseite!$D$16,2),3,IF(EOMONTH('Personalkosten 1. Jahr'!G31,0)=EOMONTH(Startseite!$D$16,3),4,IF(EOMONTH('Personalkosten 1. Jahr'!G31,0)=EOMONTH(Startseite!$D$16,4),5,IF(EOMONTH('Personalkosten 1. Jahr'!G31,0)=EOMONTH(Startseite!$D$16,5),6,IF(EOMONTH('Personalkosten 1. Jahr'!G31,0)=EOMONTH(Startseite!$D$16,6),7,IF(EOMONTH('Personalkosten 1. Jahr'!G31,0)=EOMONTH(Startseite!$D$16,7),8,IF(EOMONTH('Personalkosten 1. Jahr'!G31,0)=EOMONTH(Startseite!$D$16,8),9,IF(EOMONTH('Personalkosten 1. Jahr'!G31,0)=EOMONTH(Startseite!$D$16,9),10,IF(EOMONTH('Personalkosten 1. Jahr'!G31,0)=EOMONTH(Startseite!$D$16,10),11,IF(EOMONTH('Personalkosten 1. Jahr'!G31,0)=EOMONTH(Startseite!$D$16,11),12,"")))))))))))))</f>
        <v>12</v>
      </c>
    </row>
    <row r="20" spans="1:18">
      <c r="A20" s="32">
        <v>18</v>
      </c>
      <c r="B20" s="54">
        <f>IF(Q20&gt;0,IF(Q20&lt;=Hilfstabelle!$B$2=AND(R20&gt;=Hilfstabelle!$B$2),'Personalkosten 1. Jahr'!O32/(R20-Q20+1),0),IF('Personalkosten 1. Jahr'!E32&gt;0,'Personalkosten 1. Jahr'!O32/12,0))</f>
        <v>0</v>
      </c>
      <c r="C20" s="54">
        <f>IF(Q20&gt;0,IF(Q20&lt;=Hilfstabelle!$C$2=AND(R20&gt;=Hilfstabelle!$C$2),'Personalkosten 1. Jahr'!O32/(R20-Q20+1),0),IF('Personalkosten 1. Jahr'!F32&gt;0,'Personalkosten 1. Jahr'!O32/12,0))</f>
        <v>0</v>
      </c>
      <c r="D20" s="54">
        <f>IF(Q20&gt;0,IF(Q20&lt;=Hilfstabelle!$D$2=AND(R20&gt;=Hilfstabelle!$D$2),'Personalkosten 1. Jahr'!O32/(R20-Q20+1),0),IF('Personalkosten 1. Jahr'!G32&gt;0,'Personalkosten 1. Jahr'!O32/12,0))</f>
        <v>0</v>
      </c>
      <c r="E20" s="54">
        <f>IF(Q20&gt;0,IF(Q20&lt;=Hilfstabelle!$E$2=AND(R20&gt;=Hilfstabelle!$E$2),'Personalkosten 1. Jahr'!O32/(R20-Q20+1),0),IF('Personalkosten 1. Jahr'!H32&gt;0,'Personalkosten 1. Jahr'!O32/12,0))</f>
        <v>0</v>
      </c>
      <c r="F20" s="54">
        <f>IF(Q20&gt;0,IF(Q20&lt;=Hilfstabelle!$F$2=AND(R20&gt;=Hilfstabelle!$F$2),'Personalkosten 1. Jahr'!O32/(R20-Q20+1),0),IF('Personalkosten 1. Jahr'!I32&gt;0,'Personalkosten 1. Jahr'!O32/12,0))</f>
        <v>0</v>
      </c>
      <c r="G20" s="54">
        <f>IF(Q20&gt;0,IF(Q20&lt;=Hilfstabelle!$G$2=AND(R20&gt;=Hilfstabelle!$G$2),'Personalkosten 1. Jahr'!O32/(R20-Q20+1),0),IF('Personalkosten 1. Jahr'!J32&gt;0,'Personalkosten 1. Jahr'!O32/12,0))</f>
        <v>0</v>
      </c>
      <c r="H20" s="54">
        <f>IF(Q20&gt;0,IF(Q20&lt;=Hilfstabelle!$H$2=AND(R20&gt;=Hilfstabelle!$H$2),'Personalkosten 1. Jahr'!O32/(R20-Q20+1),0),IF('Personalkosten 1. Jahr'!K32&gt;0,'Personalkosten 1. Jahr'!O32/12,0))</f>
        <v>0</v>
      </c>
      <c r="I20" s="54">
        <f>IF(Q20&gt;0,IF(Q20&lt;=Hilfstabelle!$I$2=AND(R20&gt;=Hilfstabelle!$I$2),'Personalkosten 1. Jahr'!O32/(R20-Q20+1),0),IF('Personalkosten 1. Jahr'!L32&gt;0,'Personalkosten 1. Jahr'!O32/12,0))</f>
        <v>0</v>
      </c>
      <c r="J20" s="54">
        <f>IF(Q20&gt;0,IF(Q20&lt;=Hilfstabelle!$J$2=AND(R20&gt;=Hilfstabelle!$J$2),'Personalkosten 1. Jahr'!O32/(R20-Q20+1),0),IF('Personalkosten 1. Jahr'!M32&gt;0,'Personalkosten 1. Jahr'!O32/12,0))</f>
        <v>0</v>
      </c>
      <c r="K20" s="54">
        <f>IF(Q20&gt;0,IF(Q20&lt;=Hilfstabelle!$K$2=AND(R20&gt;=Hilfstabelle!$K$2),'Personalkosten 1. Jahr'!O32/(R20-Q20+1),0),IF('Personalkosten 1. Jahr'!N32&gt;0,'Personalkosten 1. Jahr'!O32/12,0))</f>
        <v>0</v>
      </c>
      <c r="L20" s="54">
        <f>IF(Q20&gt;0,IF(Q20&lt;=Hilfstabelle!$L$2=AND(R20&gt;=Hilfstabelle!$L$2),'Personalkosten 1. Jahr'!O32/(R20-Q20+1),0),IF('Personalkosten 1. Jahr'!O32&gt;0,'Personalkosten 1. Jahr'!O32/12,0))</f>
        <v>0</v>
      </c>
      <c r="M20" s="54">
        <f>IF(Q20&gt;0,IF(Q20&lt;=Hilfstabelle!$M$2=AND(R20&gt;=Hilfstabelle!$M$2),'Personalkosten 1. Jahr'!O32/(R20-Q20+1),0),IF('Personalkosten 1. Jahr'!P32&gt;0,'Personalkosten 1. Jahr'!O32/12,0))</f>
        <v>0</v>
      </c>
      <c r="N20" s="55">
        <f t="shared" si="1"/>
        <v>0</v>
      </c>
      <c r="O20" s="34"/>
      <c r="Q20" s="26">
        <f>IF('Personalkosten 1. Jahr'!F32="",1,IF(EOMONTH('Personalkosten 1. Jahr'!F32,0)=EOMONTH(Startseite!$D$16,0),1,IF(EOMONTH('Personalkosten 1. Jahr'!F32,0)=EOMONTH(Startseite!$D$16,1),2,IF(EOMONTH('Personalkosten 1. Jahr'!F32,0)=EOMONTH(Startseite!$D$16,2),3,IF(EOMONTH('Personalkosten 1. Jahr'!F32,0)=EOMONTH(Startseite!$D$16,3),4,IF(EOMONTH('Personalkosten 1. Jahr'!F32,0)=EOMONTH(Startseite!$D$16,4),5,IF(EOMONTH('Personalkosten 1. Jahr'!F32,0)=EOMONTH(Startseite!$D$16,5),6,IF(EOMONTH('Personalkosten 1. Jahr'!F32,0)=EOMONTH(Startseite!$D$16,6),7,IF(EOMONTH('Personalkosten 1. Jahr'!F32,0)=EOMONTH(Startseite!$D$16,7),8,IF(EOMONTH('Personalkosten 1. Jahr'!F32,0)=EOMONTH(Startseite!$D$16,8),9,IF(EOMONTH('Personalkosten 1. Jahr'!F32,0)=EOMONTH(Startseite!$D$16,9),10,IF(EOMONTH('Personalkosten 1. Jahr'!F32,0)=EOMONTH(Startseite!$D$16,10),11,IF(EOMONTH('Personalkosten 1. Jahr'!F32,0)=EOMONTH(Startseite!$D$16,11),12,"")))))))))))))</f>
        <v>1</v>
      </c>
      <c r="R20" s="26">
        <f>IF('Personalkosten 1. Jahr'!G32="",12,IF(EOMONTH('Personalkosten 1. Jahr'!G32,0)=EOMONTH(Startseite!$D$16,0),1,IF(EOMONTH('Personalkosten 1. Jahr'!G32,0)=EOMONTH(Startseite!$D$16,1),2,IF(EOMONTH('Personalkosten 1. Jahr'!G32,0)=EOMONTH(Startseite!$D$16,2),3,IF(EOMONTH('Personalkosten 1. Jahr'!G32,0)=EOMONTH(Startseite!$D$16,3),4,IF(EOMONTH('Personalkosten 1. Jahr'!G32,0)=EOMONTH(Startseite!$D$16,4),5,IF(EOMONTH('Personalkosten 1. Jahr'!G32,0)=EOMONTH(Startseite!$D$16,5),6,IF(EOMONTH('Personalkosten 1. Jahr'!G32,0)=EOMONTH(Startseite!$D$16,6),7,IF(EOMONTH('Personalkosten 1. Jahr'!G32,0)=EOMONTH(Startseite!$D$16,7),8,IF(EOMONTH('Personalkosten 1. Jahr'!G32,0)=EOMONTH(Startseite!$D$16,8),9,IF(EOMONTH('Personalkosten 1. Jahr'!G32,0)=EOMONTH(Startseite!$D$16,9),10,IF(EOMONTH('Personalkosten 1. Jahr'!G32,0)=EOMONTH(Startseite!$D$16,10),11,IF(EOMONTH('Personalkosten 1. Jahr'!G32,0)=EOMONTH(Startseite!$D$16,11),12,"")))))))))))))</f>
        <v>12</v>
      </c>
    </row>
    <row r="21" spans="1:18">
      <c r="A21" s="32">
        <v>19</v>
      </c>
      <c r="B21" s="54">
        <f>IF(Q21&gt;0,IF(Q21&lt;=Hilfstabelle!$B$2=AND(R21&gt;=Hilfstabelle!$B$2),'Personalkosten 1. Jahr'!O33/(R21-Q21+1),0),IF('Personalkosten 1. Jahr'!E33&gt;0,'Personalkosten 1. Jahr'!O33/12,0))</f>
        <v>0</v>
      </c>
      <c r="C21" s="54">
        <f>IF(Q21&gt;0,IF(Q21&lt;=Hilfstabelle!$C$2=AND(R21&gt;=Hilfstabelle!$C$2),'Personalkosten 1. Jahr'!O33/(R21-Q21+1),0),IF('Personalkosten 1. Jahr'!F33&gt;0,'Personalkosten 1. Jahr'!O33/12,0))</f>
        <v>0</v>
      </c>
      <c r="D21" s="54">
        <f>IF(Q21&gt;0,IF(Q21&lt;=Hilfstabelle!$D$2=AND(R21&gt;=Hilfstabelle!$D$2),'Personalkosten 1. Jahr'!O33/(R21-Q21+1),0),IF('Personalkosten 1. Jahr'!G33&gt;0,'Personalkosten 1. Jahr'!O33/12,0))</f>
        <v>0</v>
      </c>
      <c r="E21" s="54">
        <f>IF(Q21&gt;0,IF(Q21&lt;=Hilfstabelle!$E$2=AND(R21&gt;=Hilfstabelle!$E$2),'Personalkosten 1. Jahr'!O33/(R21-Q21+1),0),IF('Personalkosten 1. Jahr'!H33&gt;0,'Personalkosten 1. Jahr'!O33/12,0))</f>
        <v>0</v>
      </c>
      <c r="F21" s="54">
        <f>IF(Q21&gt;0,IF(Q21&lt;=Hilfstabelle!$F$2=AND(R21&gt;=Hilfstabelle!$F$2),'Personalkosten 1. Jahr'!O33/(R21-Q21+1),0),IF('Personalkosten 1. Jahr'!I33&gt;0,'Personalkosten 1. Jahr'!O33/12,0))</f>
        <v>0</v>
      </c>
      <c r="G21" s="54">
        <f>IF(Q21&gt;0,IF(Q21&lt;=Hilfstabelle!$G$2=AND(R21&gt;=Hilfstabelle!$G$2),'Personalkosten 1. Jahr'!O33/(R21-Q21+1),0),IF('Personalkosten 1. Jahr'!J33&gt;0,'Personalkosten 1. Jahr'!O33/12,0))</f>
        <v>0</v>
      </c>
      <c r="H21" s="54">
        <f>IF(Q21&gt;0,IF(Q21&lt;=Hilfstabelle!$H$2=AND(R21&gt;=Hilfstabelle!$H$2),'Personalkosten 1. Jahr'!O33/(R21-Q21+1),0),IF('Personalkosten 1. Jahr'!K33&gt;0,'Personalkosten 1. Jahr'!O33/12,0))</f>
        <v>0</v>
      </c>
      <c r="I21" s="54">
        <f>IF(Q21&gt;0,IF(Q21&lt;=Hilfstabelle!$I$2=AND(R21&gt;=Hilfstabelle!$I$2),'Personalkosten 1. Jahr'!O33/(R21-Q21+1),0),IF('Personalkosten 1. Jahr'!L33&gt;0,'Personalkosten 1. Jahr'!O33/12,0))</f>
        <v>0</v>
      </c>
      <c r="J21" s="54">
        <f>IF(Q21&gt;0,IF(Q21&lt;=Hilfstabelle!$J$2=AND(R21&gt;=Hilfstabelle!$J$2),'Personalkosten 1. Jahr'!O33/(R21-Q21+1),0),IF('Personalkosten 1. Jahr'!M33&gt;0,'Personalkosten 1. Jahr'!O33/12,0))</f>
        <v>0</v>
      </c>
      <c r="K21" s="54">
        <f>IF(Q21&gt;0,IF(Q21&lt;=Hilfstabelle!$K$2=AND(R21&gt;=Hilfstabelle!$K$2),'Personalkosten 1. Jahr'!O33/(R21-Q21+1),0),IF('Personalkosten 1. Jahr'!N33&gt;0,'Personalkosten 1. Jahr'!O33/12,0))</f>
        <v>0</v>
      </c>
      <c r="L21" s="54">
        <f>IF(Q21&gt;0,IF(Q21&lt;=Hilfstabelle!$L$2=AND(R21&gt;=Hilfstabelle!$L$2),'Personalkosten 1. Jahr'!O33/(R21-Q21+1),0),IF('Personalkosten 1. Jahr'!O33&gt;0,'Personalkosten 1. Jahr'!O33/12,0))</f>
        <v>0</v>
      </c>
      <c r="M21" s="54">
        <f>IF(Q21&gt;0,IF(Q21&lt;=Hilfstabelle!$M$2=AND(R21&gt;=Hilfstabelle!$M$2),'Personalkosten 1. Jahr'!O33/(R21-Q21+1),0),IF('Personalkosten 1. Jahr'!P33&gt;0,'Personalkosten 1. Jahr'!O33/12,0))</f>
        <v>0</v>
      </c>
      <c r="N21" s="55">
        <f>SUM(B21:M21)</f>
        <v>0</v>
      </c>
      <c r="O21" s="34"/>
      <c r="Q21" s="26">
        <f>IF('Personalkosten 1. Jahr'!F33="",1,IF(EOMONTH('Personalkosten 1. Jahr'!F33,0)=EOMONTH(Startseite!$D$16,0),1,IF(EOMONTH('Personalkosten 1. Jahr'!F33,0)=EOMONTH(Startseite!$D$16,1),2,IF(EOMONTH('Personalkosten 1. Jahr'!F33,0)=EOMONTH(Startseite!$D$16,2),3,IF(EOMONTH('Personalkosten 1. Jahr'!F33,0)=EOMONTH(Startseite!$D$16,3),4,IF(EOMONTH('Personalkosten 1. Jahr'!F33,0)=EOMONTH(Startseite!$D$16,4),5,IF(EOMONTH('Personalkosten 1. Jahr'!F33,0)=EOMONTH(Startseite!$D$16,5),6,IF(EOMONTH('Personalkosten 1. Jahr'!F33,0)=EOMONTH(Startseite!$D$16,6),7,IF(EOMONTH('Personalkosten 1. Jahr'!F33,0)=EOMONTH(Startseite!$D$16,7),8,IF(EOMONTH('Personalkosten 1. Jahr'!F33,0)=EOMONTH(Startseite!$D$16,8),9,IF(EOMONTH('Personalkosten 1. Jahr'!F33,0)=EOMONTH(Startseite!$D$16,9),10,IF(EOMONTH('Personalkosten 1. Jahr'!F33,0)=EOMONTH(Startseite!$D$16,10),11,IF(EOMONTH('Personalkosten 1. Jahr'!F33,0)=EOMONTH(Startseite!$D$16,11),12,"")))))))))))))</f>
        <v>1</v>
      </c>
      <c r="R21" s="26">
        <f>IF('Personalkosten 1. Jahr'!G33="",12,IF(EOMONTH('Personalkosten 1. Jahr'!G33,0)=EOMONTH(Startseite!$D$16,0),1,IF(EOMONTH('Personalkosten 1. Jahr'!G33,0)=EOMONTH(Startseite!$D$16,1),2,IF(EOMONTH('Personalkosten 1. Jahr'!G33,0)=EOMONTH(Startseite!$D$16,2),3,IF(EOMONTH('Personalkosten 1. Jahr'!G33,0)=EOMONTH(Startseite!$D$16,3),4,IF(EOMONTH('Personalkosten 1. Jahr'!G33,0)=EOMONTH(Startseite!$D$16,4),5,IF(EOMONTH('Personalkosten 1. Jahr'!G33,0)=EOMONTH(Startseite!$D$16,5),6,IF(EOMONTH('Personalkosten 1. Jahr'!G33,0)=EOMONTH(Startseite!$D$16,6),7,IF(EOMONTH('Personalkosten 1. Jahr'!G33,0)=EOMONTH(Startseite!$D$16,7),8,IF(EOMONTH('Personalkosten 1. Jahr'!G33,0)=EOMONTH(Startseite!$D$16,8),9,IF(EOMONTH('Personalkosten 1. Jahr'!G33,0)=EOMONTH(Startseite!$D$16,9),10,IF(EOMONTH('Personalkosten 1. Jahr'!G33,0)=EOMONTH(Startseite!$D$16,10),11,IF(EOMONTH('Personalkosten 1. Jahr'!G33,0)=EOMONTH(Startseite!$D$16,11),12,"")))))))))))))</f>
        <v>12</v>
      </c>
    </row>
    <row r="22" spans="1:18">
      <c r="A22" s="32">
        <v>20</v>
      </c>
      <c r="B22" s="54">
        <f>IF(Q22&gt;0,IF(Q22&lt;=Hilfstabelle!$B$2=AND(R22&gt;=Hilfstabelle!$B$2),'Personalkosten 1. Jahr'!O34/(R22-Q22+1),0),IF('Personalkosten 1. Jahr'!E34&gt;0,'Personalkosten 1. Jahr'!O34/12,0))</f>
        <v>0</v>
      </c>
      <c r="C22" s="54">
        <f>IF(Q22&gt;0,IF(Q22&lt;=Hilfstabelle!$C$2=AND(R22&gt;=Hilfstabelle!$C$2),'Personalkosten 1. Jahr'!O34/(R22-Q22+1),0),IF('Personalkosten 1. Jahr'!F34&gt;0,'Personalkosten 1. Jahr'!O34/12,0))</f>
        <v>0</v>
      </c>
      <c r="D22" s="54">
        <f>IF(Q22&gt;0,IF(Q22&lt;=Hilfstabelle!$D$2=AND(R22&gt;=Hilfstabelle!$D$2),'Personalkosten 1. Jahr'!O34/(R22-Q22+1),0),IF('Personalkosten 1. Jahr'!G34&gt;0,'Personalkosten 1. Jahr'!O34/12,0))</f>
        <v>0</v>
      </c>
      <c r="E22" s="54">
        <f>IF(Q22&gt;0,IF(Q22&lt;=Hilfstabelle!$E$2=AND(R22&gt;=Hilfstabelle!$E$2),'Personalkosten 1. Jahr'!O34/(R22-Q22+1),0),IF('Personalkosten 1. Jahr'!H34&gt;0,'Personalkosten 1. Jahr'!O34/12,0))</f>
        <v>0</v>
      </c>
      <c r="F22" s="54">
        <f>IF(Q22&gt;0,IF(Q22&lt;=Hilfstabelle!$F$2=AND(R22&gt;=Hilfstabelle!$F$2),'Personalkosten 1. Jahr'!O34/(R22-Q22+1),0),IF('Personalkosten 1. Jahr'!I34&gt;0,'Personalkosten 1. Jahr'!O34/12,0))</f>
        <v>0</v>
      </c>
      <c r="G22" s="54">
        <f>IF(Q22&gt;0,IF(Q22&lt;=Hilfstabelle!$G$2=AND(R22&gt;=Hilfstabelle!$G$2),'Personalkosten 1. Jahr'!O34/(R22-Q22+1),0),IF('Personalkosten 1. Jahr'!J34&gt;0,'Personalkosten 1. Jahr'!O34/12,0))</f>
        <v>0</v>
      </c>
      <c r="H22" s="54">
        <f>IF(Q22&gt;0,IF(Q22&lt;=Hilfstabelle!$H$2=AND(R22&gt;=Hilfstabelle!$H$2),'Personalkosten 1. Jahr'!O34/(R22-Q22+1),0),IF('Personalkosten 1. Jahr'!K34&gt;0,'Personalkosten 1. Jahr'!O34/12,0))</f>
        <v>0</v>
      </c>
      <c r="I22" s="54">
        <f>IF(Q22&gt;0,IF(Q22&lt;=Hilfstabelle!$I$2=AND(R22&gt;=Hilfstabelle!$I$2),'Personalkosten 1. Jahr'!O34/(R22-Q22+1),0),IF('Personalkosten 1. Jahr'!L34&gt;0,'Personalkosten 1. Jahr'!O34/12,0))</f>
        <v>0</v>
      </c>
      <c r="J22" s="54">
        <f>IF(Q22&gt;0,IF(Q22&lt;=Hilfstabelle!$J$2=AND(R22&gt;=Hilfstabelle!$J$2),'Personalkosten 1. Jahr'!O34/(R22-Q22+1),0),IF('Personalkosten 1. Jahr'!M34&gt;0,'Personalkosten 1. Jahr'!O34/12,0))</f>
        <v>0</v>
      </c>
      <c r="K22" s="54">
        <f>IF(Q22&gt;0,IF(Q22&lt;=Hilfstabelle!$K$2=AND(R22&gt;=Hilfstabelle!$K$2),'Personalkosten 1. Jahr'!O34/(R22-Q22+1),0),IF('Personalkosten 1. Jahr'!N34&gt;0,'Personalkosten 1. Jahr'!O34/12,0))</f>
        <v>0</v>
      </c>
      <c r="L22" s="54">
        <f>IF(Q22&gt;0,IF(Q22&lt;=Hilfstabelle!$L$2=AND(R22&gt;=Hilfstabelle!$L$2),'Personalkosten 1. Jahr'!O34/(R22-Q22+1),0),IF('Personalkosten 1. Jahr'!O34&gt;0,'Personalkosten 1. Jahr'!O34/12,0))</f>
        <v>0</v>
      </c>
      <c r="M22" s="54">
        <f>IF(Q22&gt;0,IF(Q22&lt;=Hilfstabelle!$M$2=AND(R22&gt;=Hilfstabelle!$M$2),'Personalkosten 1. Jahr'!O34/(R22-Q22+1),0),IF('Personalkosten 1. Jahr'!P34&gt;0,'Personalkosten 1. Jahr'!O34/12,0))</f>
        <v>0</v>
      </c>
      <c r="N22" s="55">
        <f t="shared" si="0"/>
        <v>0</v>
      </c>
      <c r="O22" s="34"/>
      <c r="Q22" s="26">
        <f>IF('Personalkosten 1. Jahr'!F34="",1,IF(EOMONTH('Personalkosten 1. Jahr'!F34,0)=EOMONTH(Startseite!$D$16,0),1,IF(EOMONTH('Personalkosten 1. Jahr'!F34,0)=EOMONTH(Startseite!$D$16,1),2,IF(EOMONTH('Personalkosten 1. Jahr'!F34,0)=EOMONTH(Startseite!$D$16,2),3,IF(EOMONTH('Personalkosten 1. Jahr'!F34,0)=EOMONTH(Startseite!$D$16,3),4,IF(EOMONTH('Personalkosten 1. Jahr'!F34,0)=EOMONTH(Startseite!$D$16,4),5,IF(EOMONTH('Personalkosten 1. Jahr'!F34,0)=EOMONTH(Startseite!$D$16,5),6,IF(EOMONTH('Personalkosten 1. Jahr'!F34,0)=EOMONTH(Startseite!$D$16,6),7,IF(EOMONTH('Personalkosten 1. Jahr'!F34,0)=EOMONTH(Startseite!$D$16,7),8,IF(EOMONTH('Personalkosten 1. Jahr'!F34,0)=EOMONTH(Startseite!$D$16,8),9,IF(EOMONTH('Personalkosten 1. Jahr'!F34,0)=EOMONTH(Startseite!$D$16,9),10,IF(EOMONTH('Personalkosten 1. Jahr'!F34,0)=EOMONTH(Startseite!$D$16,10),11,IF(EOMONTH('Personalkosten 1. Jahr'!F34,0)=EOMONTH(Startseite!$D$16,11),12,"")))))))))))))</f>
        <v>1</v>
      </c>
      <c r="R22" s="26">
        <f>IF('Personalkosten 1. Jahr'!G34="",12,IF(EOMONTH('Personalkosten 1. Jahr'!G34,0)=EOMONTH(Startseite!$D$16,0),1,IF(EOMONTH('Personalkosten 1. Jahr'!G34,0)=EOMONTH(Startseite!$D$16,1),2,IF(EOMONTH('Personalkosten 1. Jahr'!G34,0)=EOMONTH(Startseite!$D$16,2),3,IF(EOMONTH('Personalkosten 1. Jahr'!G34,0)=EOMONTH(Startseite!$D$16,3),4,IF(EOMONTH('Personalkosten 1. Jahr'!G34,0)=EOMONTH(Startseite!$D$16,4),5,IF(EOMONTH('Personalkosten 1. Jahr'!G34,0)=EOMONTH(Startseite!$D$16,5),6,IF(EOMONTH('Personalkosten 1. Jahr'!G34,0)=EOMONTH(Startseite!$D$16,6),7,IF(EOMONTH('Personalkosten 1. Jahr'!G34,0)=EOMONTH(Startseite!$D$16,7),8,IF(EOMONTH('Personalkosten 1. Jahr'!G34,0)=EOMONTH(Startseite!$D$16,8),9,IF(EOMONTH('Personalkosten 1. Jahr'!G34,0)=EOMONTH(Startseite!$D$16,9),10,IF(EOMONTH('Personalkosten 1. Jahr'!G34,0)=EOMONTH(Startseite!$D$16,10),11,IF(EOMONTH('Personalkosten 1. Jahr'!G34,0)=EOMONTH(Startseite!$D$16,11),12,"")))))))))))))</f>
        <v>12</v>
      </c>
    </row>
    <row r="23" spans="1:18">
      <c r="A23" s="32">
        <v>21</v>
      </c>
      <c r="B23" s="54">
        <f>IF(Q23&gt;0,IF(Q23&lt;=Hilfstabelle!$B$2=AND(R23&gt;=Hilfstabelle!$B$2),'Personalkosten 1. Jahr'!O35/(R23-Q23+1),0),IF('Personalkosten 1. Jahr'!E35&gt;0,'Personalkosten 1. Jahr'!O35/12,0))</f>
        <v>0</v>
      </c>
      <c r="C23" s="54">
        <f>IF(Q23&gt;0,IF(Q23&lt;=Hilfstabelle!$C$2=AND(R23&gt;=Hilfstabelle!$C$2),'Personalkosten 1. Jahr'!O35/(R23-Q23+1),0),IF('Personalkosten 1. Jahr'!F35&gt;0,'Personalkosten 1. Jahr'!O35/12,0))</f>
        <v>0</v>
      </c>
      <c r="D23" s="54">
        <f>IF(Q23&gt;0,IF(Q23&lt;=Hilfstabelle!$D$2=AND(R23&gt;=Hilfstabelle!$D$2),'Personalkosten 1. Jahr'!O35/(R23-Q23+1),0),IF('Personalkosten 1. Jahr'!G35&gt;0,'Personalkosten 1. Jahr'!O35/12,0))</f>
        <v>0</v>
      </c>
      <c r="E23" s="54">
        <f>IF(Q23&gt;0,IF(Q23&lt;=Hilfstabelle!$E$2=AND(R23&gt;=Hilfstabelle!$E$2),'Personalkosten 1. Jahr'!O35/(R23-Q23+1),0),IF('Personalkosten 1. Jahr'!H35&gt;0,'Personalkosten 1. Jahr'!O35/12,0))</f>
        <v>0</v>
      </c>
      <c r="F23" s="54">
        <f>IF(Q23&gt;0,IF(Q23&lt;=Hilfstabelle!$F$2=AND(R23&gt;=Hilfstabelle!$F$2),'Personalkosten 1. Jahr'!O35/(R23-Q23+1),0),IF('Personalkosten 1. Jahr'!I35&gt;0,'Personalkosten 1. Jahr'!O35/12,0))</f>
        <v>0</v>
      </c>
      <c r="G23" s="54">
        <f>IF(Q23&gt;0,IF(Q23&lt;=Hilfstabelle!$G$2=AND(R23&gt;=Hilfstabelle!$G$2),'Personalkosten 1. Jahr'!O35/(R23-Q23+1),0),IF('Personalkosten 1. Jahr'!J35&gt;0,'Personalkosten 1. Jahr'!O35/12,0))</f>
        <v>0</v>
      </c>
      <c r="H23" s="54">
        <f>IF(Q23&gt;0,IF(Q23&lt;=Hilfstabelle!$H$2=AND(R23&gt;=Hilfstabelle!$H$2),'Personalkosten 1. Jahr'!O35/(R23-Q23+1),0),IF('Personalkosten 1. Jahr'!K35&gt;0,'Personalkosten 1. Jahr'!O35/12,0))</f>
        <v>0</v>
      </c>
      <c r="I23" s="54">
        <f>IF(Q23&gt;0,IF(Q23&lt;=Hilfstabelle!$I$2=AND(R23&gt;=Hilfstabelle!$I$2),'Personalkosten 1. Jahr'!O35/(R23-Q23+1),0),IF('Personalkosten 1. Jahr'!L35&gt;0,'Personalkosten 1. Jahr'!O35/12,0))</f>
        <v>0</v>
      </c>
      <c r="J23" s="54">
        <f>IF(Q23&gt;0,IF(Q23&lt;=Hilfstabelle!$J$2=AND(R23&gt;=Hilfstabelle!$J$2),'Personalkosten 1. Jahr'!O35/(R23-Q23+1),0),IF('Personalkosten 1. Jahr'!M35&gt;0,'Personalkosten 1. Jahr'!O35/12,0))</f>
        <v>0</v>
      </c>
      <c r="K23" s="54">
        <f>IF(Q23&gt;0,IF(Q23&lt;=Hilfstabelle!$K$2=AND(R23&gt;=Hilfstabelle!$K$2),'Personalkosten 1. Jahr'!O35/(R23-Q23+1),0),IF('Personalkosten 1. Jahr'!N35&gt;0,'Personalkosten 1. Jahr'!O35/12,0))</f>
        <v>0</v>
      </c>
      <c r="L23" s="54">
        <f>IF(Q23&gt;0,IF(Q23&lt;=Hilfstabelle!$L$2=AND(R23&gt;=Hilfstabelle!$L$2),'Personalkosten 1. Jahr'!O35/(R23-Q23+1),0),IF('Personalkosten 1. Jahr'!O35&gt;0,'Personalkosten 1. Jahr'!O35/12,0))</f>
        <v>0</v>
      </c>
      <c r="M23" s="54">
        <f>IF(Q23&gt;0,IF(Q23&lt;=Hilfstabelle!$M$2=AND(R23&gt;=Hilfstabelle!$M$2),'Personalkosten 1. Jahr'!O35/(R23-Q23+1),0),IF('Personalkosten 1. Jahr'!P35&gt;0,'Personalkosten 1. Jahr'!O35/12,0))</f>
        <v>0</v>
      </c>
      <c r="N23" s="55">
        <f t="shared" si="0"/>
        <v>0</v>
      </c>
      <c r="O23" s="34"/>
      <c r="Q23" s="26">
        <f>IF('Personalkosten 1. Jahr'!F35="",1,IF(EOMONTH('Personalkosten 1. Jahr'!F35,0)=EOMONTH(Startseite!$D$16,0),1,IF(EOMONTH('Personalkosten 1. Jahr'!F35,0)=EOMONTH(Startseite!$D$16,1),2,IF(EOMONTH('Personalkosten 1. Jahr'!F35,0)=EOMONTH(Startseite!$D$16,2),3,IF(EOMONTH('Personalkosten 1. Jahr'!F35,0)=EOMONTH(Startseite!$D$16,3),4,IF(EOMONTH('Personalkosten 1. Jahr'!F35,0)=EOMONTH(Startseite!$D$16,4),5,IF(EOMONTH('Personalkosten 1. Jahr'!F35,0)=EOMONTH(Startseite!$D$16,5),6,IF(EOMONTH('Personalkosten 1. Jahr'!F35,0)=EOMONTH(Startseite!$D$16,6),7,IF(EOMONTH('Personalkosten 1. Jahr'!F35,0)=EOMONTH(Startseite!$D$16,7),8,IF(EOMONTH('Personalkosten 1. Jahr'!F35,0)=EOMONTH(Startseite!$D$16,8),9,IF(EOMONTH('Personalkosten 1. Jahr'!F35,0)=EOMONTH(Startseite!$D$16,9),10,IF(EOMONTH('Personalkosten 1. Jahr'!F35,0)=EOMONTH(Startseite!$D$16,10),11,IF(EOMONTH('Personalkosten 1. Jahr'!F35,0)=EOMONTH(Startseite!$D$16,11),12,"")))))))))))))</f>
        <v>1</v>
      </c>
      <c r="R23" s="26">
        <f>IF('Personalkosten 1. Jahr'!G35="",12,IF(EOMONTH('Personalkosten 1. Jahr'!G35,0)=EOMONTH(Startseite!$D$16,0),1,IF(EOMONTH('Personalkosten 1. Jahr'!G35,0)=EOMONTH(Startseite!$D$16,1),2,IF(EOMONTH('Personalkosten 1. Jahr'!G35,0)=EOMONTH(Startseite!$D$16,2),3,IF(EOMONTH('Personalkosten 1. Jahr'!G35,0)=EOMONTH(Startseite!$D$16,3),4,IF(EOMONTH('Personalkosten 1. Jahr'!G35,0)=EOMONTH(Startseite!$D$16,4),5,IF(EOMONTH('Personalkosten 1. Jahr'!G35,0)=EOMONTH(Startseite!$D$16,5),6,IF(EOMONTH('Personalkosten 1. Jahr'!G35,0)=EOMONTH(Startseite!$D$16,6),7,IF(EOMONTH('Personalkosten 1. Jahr'!G35,0)=EOMONTH(Startseite!$D$16,7),8,IF(EOMONTH('Personalkosten 1. Jahr'!G35,0)=EOMONTH(Startseite!$D$16,8),9,IF(EOMONTH('Personalkosten 1. Jahr'!G35,0)=EOMONTH(Startseite!$D$16,9),10,IF(EOMONTH('Personalkosten 1. Jahr'!G35,0)=EOMONTH(Startseite!$D$16,10),11,IF(EOMONTH('Personalkosten 1. Jahr'!G35,0)=EOMONTH(Startseite!$D$16,11),12,"")))))))))))))</f>
        <v>12</v>
      </c>
    </row>
    <row r="24" spans="1:18">
      <c r="A24" s="32">
        <v>22</v>
      </c>
      <c r="B24" s="54">
        <f>IF(Q24&gt;0,IF(Q24&lt;=Hilfstabelle!$B$2=AND(R24&gt;=Hilfstabelle!$B$2),'Personalkosten 1. Jahr'!O36/(R24-Q24+1),0),IF('Personalkosten 1. Jahr'!E36&gt;0,'Personalkosten 1. Jahr'!O36/12,0))</f>
        <v>0</v>
      </c>
      <c r="C24" s="54">
        <f>IF(Q24&gt;0,IF(Q24&lt;=Hilfstabelle!$C$2=AND(R24&gt;=Hilfstabelle!$C$2),'Personalkosten 1. Jahr'!O36/(R24-Q24+1),0),IF('Personalkosten 1. Jahr'!F36&gt;0,'Personalkosten 1. Jahr'!O36/12,0))</f>
        <v>0</v>
      </c>
      <c r="D24" s="54">
        <f>IF(Q24&gt;0,IF(Q24&lt;=Hilfstabelle!$D$2=AND(R24&gt;=Hilfstabelle!$D$2),'Personalkosten 1. Jahr'!O36/(R24-Q24+1),0),IF('Personalkosten 1. Jahr'!G36&gt;0,'Personalkosten 1. Jahr'!O36/12,0))</f>
        <v>0</v>
      </c>
      <c r="E24" s="54">
        <f>IF(Q24&gt;0,IF(Q24&lt;=Hilfstabelle!$E$2=AND(R24&gt;=Hilfstabelle!$E$2),'Personalkosten 1. Jahr'!O36/(R24-Q24+1),0),IF('Personalkosten 1. Jahr'!H36&gt;0,'Personalkosten 1. Jahr'!O36/12,0))</f>
        <v>0</v>
      </c>
      <c r="F24" s="54">
        <f>IF(Q24&gt;0,IF(Q24&lt;=Hilfstabelle!$F$2=AND(R24&gt;=Hilfstabelle!$F$2),'Personalkosten 1. Jahr'!O36/(R24-Q24+1),0),IF('Personalkosten 1. Jahr'!I36&gt;0,'Personalkosten 1. Jahr'!O36/12,0))</f>
        <v>0</v>
      </c>
      <c r="G24" s="54">
        <f>IF(Q24&gt;0,IF(Q24&lt;=Hilfstabelle!$G$2=AND(R24&gt;=Hilfstabelle!$G$2),'Personalkosten 1. Jahr'!O36/(R24-Q24+1),0),IF('Personalkosten 1. Jahr'!J36&gt;0,'Personalkosten 1. Jahr'!O36/12,0))</f>
        <v>0</v>
      </c>
      <c r="H24" s="54">
        <f>IF(Q24&gt;0,IF(Q24&lt;=Hilfstabelle!$H$2=AND(R24&gt;=Hilfstabelle!$H$2),'Personalkosten 1. Jahr'!O36/(R24-Q24+1),0),IF('Personalkosten 1. Jahr'!K36&gt;0,'Personalkosten 1. Jahr'!O36/12,0))</f>
        <v>0</v>
      </c>
      <c r="I24" s="54">
        <f>IF(Q24&gt;0,IF(Q24&lt;=Hilfstabelle!$I$2=AND(R24&gt;=Hilfstabelle!$I$2),'Personalkosten 1. Jahr'!O36/(R24-Q24+1),0),IF('Personalkosten 1. Jahr'!L36&gt;0,'Personalkosten 1. Jahr'!O36/12,0))</f>
        <v>0</v>
      </c>
      <c r="J24" s="54">
        <f>IF(Q24&gt;0,IF(Q24&lt;=Hilfstabelle!$J$2=AND(R24&gt;=Hilfstabelle!$J$2),'Personalkosten 1. Jahr'!O36/(R24-Q24+1),0),IF('Personalkosten 1. Jahr'!M36&gt;0,'Personalkosten 1. Jahr'!O36/12,0))</f>
        <v>0</v>
      </c>
      <c r="K24" s="54">
        <f>IF(Q24&gt;0,IF(Q24&lt;=Hilfstabelle!$K$2=AND(R24&gt;=Hilfstabelle!$K$2),'Personalkosten 1. Jahr'!O36/(R24-Q24+1),0),IF('Personalkosten 1. Jahr'!N36&gt;0,'Personalkosten 1. Jahr'!O36/12,0))</f>
        <v>0</v>
      </c>
      <c r="L24" s="54">
        <f>IF(Q24&gt;0,IF(Q24&lt;=Hilfstabelle!$L$2=AND(R24&gt;=Hilfstabelle!$L$2),'Personalkosten 1. Jahr'!O36/(R24-Q24+1),0),IF('Personalkosten 1. Jahr'!O36&gt;0,'Personalkosten 1. Jahr'!O36/12,0))</f>
        <v>0</v>
      </c>
      <c r="M24" s="54">
        <f>IF(Q24&gt;0,IF(Q24&lt;=Hilfstabelle!$M$2=AND(R24&gt;=Hilfstabelle!$M$2),'Personalkosten 1. Jahr'!O36/(R24-Q24+1),0),IF('Personalkosten 1. Jahr'!P36&gt;0,'Personalkosten 1. Jahr'!O36/12,0))</f>
        <v>0</v>
      </c>
      <c r="N24" s="55">
        <f t="shared" si="0"/>
        <v>0</v>
      </c>
      <c r="O24" s="34"/>
      <c r="Q24" s="26">
        <f>IF('Personalkosten 1. Jahr'!F36="",1,IF(EOMONTH('Personalkosten 1. Jahr'!F36,0)=EOMONTH(Startseite!$D$16,0),1,IF(EOMONTH('Personalkosten 1. Jahr'!F36,0)=EOMONTH(Startseite!$D$16,1),2,IF(EOMONTH('Personalkosten 1. Jahr'!F36,0)=EOMONTH(Startseite!$D$16,2),3,IF(EOMONTH('Personalkosten 1. Jahr'!F36,0)=EOMONTH(Startseite!$D$16,3),4,IF(EOMONTH('Personalkosten 1. Jahr'!F36,0)=EOMONTH(Startseite!$D$16,4),5,IF(EOMONTH('Personalkosten 1. Jahr'!F36,0)=EOMONTH(Startseite!$D$16,5),6,IF(EOMONTH('Personalkosten 1. Jahr'!F36,0)=EOMONTH(Startseite!$D$16,6),7,IF(EOMONTH('Personalkosten 1. Jahr'!F36,0)=EOMONTH(Startseite!$D$16,7),8,IF(EOMONTH('Personalkosten 1. Jahr'!F36,0)=EOMONTH(Startseite!$D$16,8),9,IF(EOMONTH('Personalkosten 1. Jahr'!F36,0)=EOMONTH(Startseite!$D$16,9),10,IF(EOMONTH('Personalkosten 1. Jahr'!F36,0)=EOMONTH(Startseite!$D$16,10),11,IF(EOMONTH('Personalkosten 1. Jahr'!F36,0)=EOMONTH(Startseite!$D$16,11),12,"")))))))))))))</f>
        <v>1</v>
      </c>
      <c r="R24" s="26">
        <f>IF('Personalkosten 1. Jahr'!G36="",12,IF(EOMONTH('Personalkosten 1. Jahr'!G36,0)=EOMONTH(Startseite!$D$16,0),1,IF(EOMONTH('Personalkosten 1. Jahr'!G36,0)=EOMONTH(Startseite!$D$16,1),2,IF(EOMONTH('Personalkosten 1. Jahr'!G36,0)=EOMONTH(Startseite!$D$16,2),3,IF(EOMONTH('Personalkosten 1. Jahr'!G36,0)=EOMONTH(Startseite!$D$16,3),4,IF(EOMONTH('Personalkosten 1. Jahr'!G36,0)=EOMONTH(Startseite!$D$16,4),5,IF(EOMONTH('Personalkosten 1. Jahr'!G36,0)=EOMONTH(Startseite!$D$16,5),6,IF(EOMONTH('Personalkosten 1. Jahr'!G36,0)=EOMONTH(Startseite!$D$16,6),7,IF(EOMONTH('Personalkosten 1. Jahr'!G36,0)=EOMONTH(Startseite!$D$16,7),8,IF(EOMONTH('Personalkosten 1. Jahr'!G36,0)=EOMONTH(Startseite!$D$16,8),9,IF(EOMONTH('Personalkosten 1. Jahr'!G36,0)=EOMONTH(Startseite!$D$16,9),10,IF(EOMONTH('Personalkosten 1. Jahr'!G36,0)=EOMONTH(Startseite!$D$16,10),11,IF(EOMONTH('Personalkosten 1. Jahr'!G36,0)=EOMONTH(Startseite!$D$16,11),12,"")))))))))))))</f>
        <v>12</v>
      </c>
    </row>
    <row r="25" spans="1:18">
      <c r="A25" s="32">
        <v>23</v>
      </c>
      <c r="B25" s="54">
        <f>IF(Q25&gt;0,IF(Q25&lt;=Hilfstabelle!$B$2=AND(R25&gt;=Hilfstabelle!$B$2),'Personalkosten 1. Jahr'!O37/(R25-Q25+1),0),IF('Personalkosten 1. Jahr'!E37&gt;0,'Personalkosten 1. Jahr'!O37/12,0))</f>
        <v>0</v>
      </c>
      <c r="C25" s="54">
        <f>IF(Q25&gt;0,IF(Q25&lt;=Hilfstabelle!$C$2=AND(R25&gt;=Hilfstabelle!$C$2),'Personalkosten 1. Jahr'!O37/(R25-Q25+1),0),IF('Personalkosten 1. Jahr'!F37&gt;0,'Personalkosten 1. Jahr'!O37/12,0))</f>
        <v>0</v>
      </c>
      <c r="D25" s="54">
        <f>IF(Q25&gt;0,IF(Q25&lt;=Hilfstabelle!$D$2=AND(R25&gt;=Hilfstabelle!$D$2),'Personalkosten 1. Jahr'!O37/(R25-Q25+1),0),IF('Personalkosten 1. Jahr'!G37&gt;0,'Personalkosten 1. Jahr'!O37/12,0))</f>
        <v>0</v>
      </c>
      <c r="E25" s="54">
        <f>IF(Q25&gt;0,IF(Q25&lt;=Hilfstabelle!$E$2=AND(R25&gt;=Hilfstabelle!$E$2),'Personalkosten 1. Jahr'!O37/(R25-Q25+1),0),IF('Personalkosten 1. Jahr'!H37&gt;0,'Personalkosten 1. Jahr'!O37/12,0))</f>
        <v>0</v>
      </c>
      <c r="F25" s="54">
        <f>IF(Q25&gt;0,IF(Q25&lt;=Hilfstabelle!$F$2=AND(R25&gt;=Hilfstabelle!$F$2),'Personalkosten 1. Jahr'!O37/(R25-Q25+1),0),IF('Personalkosten 1. Jahr'!I37&gt;0,'Personalkosten 1. Jahr'!O37/12,0))</f>
        <v>0</v>
      </c>
      <c r="G25" s="54">
        <f>IF(Q25&gt;0,IF(Q25&lt;=Hilfstabelle!$G$2=AND(R25&gt;=Hilfstabelle!$G$2),'Personalkosten 1. Jahr'!O37/(R25-Q25+1),0),IF('Personalkosten 1. Jahr'!J37&gt;0,'Personalkosten 1. Jahr'!O37/12,0))</f>
        <v>0</v>
      </c>
      <c r="H25" s="54">
        <f>IF(Q25&gt;0,IF(Q25&lt;=Hilfstabelle!$H$2=AND(R25&gt;=Hilfstabelle!$H$2),'Personalkosten 1. Jahr'!O37/(R25-Q25+1),0),IF('Personalkosten 1. Jahr'!K37&gt;0,'Personalkosten 1. Jahr'!O37/12,0))</f>
        <v>0</v>
      </c>
      <c r="I25" s="54">
        <f>IF(Q25&gt;0,IF(Q25&lt;=Hilfstabelle!$I$2=AND(R25&gt;=Hilfstabelle!$I$2),'Personalkosten 1. Jahr'!O37/(R25-Q25+1),0),IF('Personalkosten 1. Jahr'!L37&gt;0,'Personalkosten 1. Jahr'!O37/12,0))</f>
        <v>0</v>
      </c>
      <c r="J25" s="54">
        <f>IF(Q25&gt;0,IF(Q25&lt;=Hilfstabelle!$J$2=AND(R25&gt;=Hilfstabelle!$J$2),'Personalkosten 1. Jahr'!O37/(R25-Q25+1),0),IF('Personalkosten 1. Jahr'!M37&gt;0,'Personalkosten 1. Jahr'!O37/12,0))</f>
        <v>0</v>
      </c>
      <c r="K25" s="54">
        <f>IF(Q25&gt;0,IF(Q25&lt;=Hilfstabelle!$K$2=AND(R25&gt;=Hilfstabelle!$K$2),'Personalkosten 1. Jahr'!O37/(R25-Q25+1),0),IF('Personalkosten 1. Jahr'!N37&gt;0,'Personalkosten 1. Jahr'!O37/12,0))</f>
        <v>0</v>
      </c>
      <c r="L25" s="54">
        <f>IF(Q25&gt;0,IF(Q25&lt;=Hilfstabelle!$L$2=AND(R25&gt;=Hilfstabelle!$L$2),'Personalkosten 1. Jahr'!O37/(R25-Q25+1),0),IF('Personalkosten 1. Jahr'!O37&gt;0,'Personalkosten 1. Jahr'!O37/12,0))</f>
        <v>0</v>
      </c>
      <c r="M25" s="54">
        <f>IF(Q25&gt;0,IF(Q25&lt;=Hilfstabelle!$M$2=AND(R25&gt;=Hilfstabelle!$M$2),'Personalkosten 1. Jahr'!O37/(R25-Q25+1),0),IF('Personalkosten 1. Jahr'!P37&gt;0,'Personalkosten 1. Jahr'!O37/12,0))</f>
        <v>0</v>
      </c>
      <c r="N25" s="55">
        <f t="shared" si="0"/>
        <v>0</v>
      </c>
      <c r="O25" s="34"/>
      <c r="Q25" s="26">
        <f>IF('Personalkosten 1. Jahr'!F37="",1,IF(EOMONTH('Personalkosten 1. Jahr'!F37,0)=EOMONTH(Startseite!$D$16,0),1,IF(EOMONTH('Personalkosten 1. Jahr'!F37,0)=EOMONTH(Startseite!$D$16,1),2,IF(EOMONTH('Personalkosten 1. Jahr'!F37,0)=EOMONTH(Startseite!$D$16,2),3,IF(EOMONTH('Personalkosten 1. Jahr'!F37,0)=EOMONTH(Startseite!$D$16,3),4,IF(EOMONTH('Personalkosten 1. Jahr'!F37,0)=EOMONTH(Startseite!$D$16,4),5,IF(EOMONTH('Personalkosten 1. Jahr'!F37,0)=EOMONTH(Startseite!$D$16,5),6,IF(EOMONTH('Personalkosten 1. Jahr'!F37,0)=EOMONTH(Startseite!$D$16,6),7,IF(EOMONTH('Personalkosten 1. Jahr'!F37,0)=EOMONTH(Startseite!$D$16,7),8,IF(EOMONTH('Personalkosten 1. Jahr'!F37,0)=EOMONTH(Startseite!$D$16,8),9,IF(EOMONTH('Personalkosten 1. Jahr'!F37,0)=EOMONTH(Startseite!$D$16,9),10,IF(EOMONTH('Personalkosten 1. Jahr'!F37,0)=EOMONTH(Startseite!$D$16,10),11,IF(EOMONTH('Personalkosten 1. Jahr'!F37,0)=EOMONTH(Startseite!$D$16,11),12,"")))))))))))))</f>
        <v>1</v>
      </c>
      <c r="R25" s="26">
        <f>IF('Personalkosten 1. Jahr'!G37="",12,IF(EOMONTH('Personalkosten 1. Jahr'!G37,0)=EOMONTH(Startseite!$D$16,0),1,IF(EOMONTH('Personalkosten 1. Jahr'!G37,0)=EOMONTH(Startseite!$D$16,1),2,IF(EOMONTH('Personalkosten 1. Jahr'!G37,0)=EOMONTH(Startseite!$D$16,2),3,IF(EOMONTH('Personalkosten 1. Jahr'!G37,0)=EOMONTH(Startseite!$D$16,3),4,IF(EOMONTH('Personalkosten 1. Jahr'!G37,0)=EOMONTH(Startseite!$D$16,4),5,IF(EOMONTH('Personalkosten 1. Jahr'!G37,0)=EOMONTH(Startseite!$D$16,5),6,IF(EOMONTH('Personalkosten 1. Jahr'!G37,0)=EOMONTH(Startseite!$D$16,6),7,IF(EOMONTH('Personalkosten 1. Jahr'!G37,0)=EOMONTH(Startseite!$D$16,7),8,IF(EOMONTH('Personalkosten 1. Jahr'!G37,0)=EOMONTH(Startseite!$D$16,8),9,IF(EOMONTH('Personalkosten 1. Jahr'!G37,0)=EOMONTH(Startseite!$D$16,9),10,IF(EOMONTH('Personalkosten 1. Jahr'!G37,0)=EOMONTH(Startseite!$D$16,10),11,IF(EOMONTH('Personalkosten 1. Jahr'!G37,0)=EOMONTH(Startseite!$D$16,11),12,"")))))))))))))</f>
        <v>12</v>
      </c>
    </row>
    <row r="26" spans="1:18">
      <c r="A26" s="32">
        <v>24</v>
      </c>
      <c r="B26" s="54">
        <f>IF(Q26&gt;0,IF(Q26&lt;=Hilfstabelle!$B$2=AND(R26&gt;=Hilfstabelle!$B$2),'Personalkosten 1. Jahr'!O38/(R26-Q26+1),0),IF('Personalkosten 1. Jahr'!E38&gt;0,'Personalkosten 1. Jahr'!O38/12,0))</f>
        <v>0</v>
      </c>
      <c r="C26" s="54">
        <f>IF(Q26&gt;0,IF(Q26&lt;=Hilfstabelle!$C$2=AND(R26&gt;=Hilfstabelle!$C$2),'Personalkosten 1. Jahr'!O38/(R26-Q26+1),0),IF('Personalkosten 1. Jahr'!F38&gt;0,'Personalkosten 1. Jahr'!O38/12,0))</f>
        <v>0</v>
      </c>
      <c r="D26" s="54">
        <f>IF(Q26&gt;0,IF(Q26&lt;=Hilfstabelle!$D$2=AND(R26&gt;=Hilfstabelle!$D$2),'Personalkosten 1. Jahr'!O38/(R26-Q26+1),0),IF('Personalkosten 1. Jahr'!G38&gt;0,'Personalkosten 1. Jahr'!O38/12,0))</f>
        <v>0</v>
      </c>
      <c r="E26" s="54">
        <f>IF(Q26&gt;0,IF(Q26&lt;=Hilfstabelle!$E$2=AND(R26&gt;=Hilfstabelle!$E$2),'Personalkosten 1. Jahr'!O38/(R26-Q26+1),0),IF('Personalkosten 1. Jahr'!H38&gt;0,'Personalkosten 1. Jahr'!O38/12,0))</f>
        <v>0</v>
      </c>
      <c r="F26" s="54">
        <f>IF(Q26&gt;0,IF(Q26&lt;=Hilfstabelle!$F$2=AND(R26&gt;=Hilfstabelle!$F$2),'Personalkosten 1. Jahr'!O38/(R26-Q26+1),0),IF('Personalkosten 1. Jahr'!I38&gt;0,'Personalkosten 1. Jahr'!O38/12,0))</f>
        <v>0</v>
      </c>
      <c r="G26" s="54">
        <f>IF(Q26&gt;0,IF(Q26&lt;=Hilfstabelle!$G$2=AND(R26&gt;=Hilfstabelle!$G$2),'Personalkosten 1. Jahr'!O38/(R26-Q26+1),0),IF('Personalkosten 1. Jahr'!J38&gt;0,'Personalkosten 1. Jahr'!O38/12,0))</f>
        <v>0</v>
      </c>
      <c r="H26" s="54">
        <f>IF(Q26&gt;0,IF(Q26&lt;=Hilfstabelle!$H$2=AND(R26&gt;=Hilfstabelle!$H$2),'Personalkosten 1. Jahr'!O38/(R26-Q26+1),0),IF('Personalkosten 1. Jahr'!K38&gt;0,'Personalkosten 1. Jahr'!O38/12,0))</f>
        <v>0</v>
      </c>
      <c r="I26" s="54">
        <f>IF(Q26&gt;0,IF(Q26&lt;=Hilfstabelle!$I$2=AND(R26&gt;=Hilfstabelle!$I$2),'Personalkosten 1. Jahr'!O38/(R26-Q26+1),0),IF('Personalkosten 1. Jahr'!L38&gt;0,'Personalkosten 1. Jahr'!O38/12,0))</f>
        <v>0</v>
      </c>
      <c r="J26" s="54">
        <f>IF(Q26&gt;0,IF(Q26&lt;=Hilfstabelle!$J$2=AND(R26&gt;=Hilfstabelle!$J$2),'Personalkosten 1. Jahr'!O38/(R26-Q26+1),0),IF('Personalkosten 1. Jahr'!M38&gt;0,'Personalkosten 1. Jahr'!O38/12,0))</f>
        <v>0</v>
      </c>
      <c r="K26" s="54">
        <f>IF(Q26&gt;0,IF(Q26&lt;=Hilfstabelle!$K$2=AND(R26&gt;=Hilfstabelle!$K$2),'Personalkosten 1. Jahr'!O38/(R26-Q26+1),0),IF('Personalkosten 1. Jahr'!N38&gt;0,'Personalkosten 1. Jahr'!O38/12,0))</f>
        <v>0</v>
      </c>
      <c r="L26" s="54">
        <f>IF(Q26&gt;0,IF(Q26&lt;=Hilfstabelle!$L$2=AND(R26&gt;=Hilfstabelle!$L$2),'Personalkosten 1. Jahr'!O38/(R26-Q26+1),0),IF('Personalkosten 1. Jahr'!O38&gt;0,'Personalkosten 1. Jahr'!O38/12,0))</f>
        <v>0</v>
      </c>
      <c r="M26" s="54">
        <f>IF(Q26&gt;0,IF(Q26&lt;=Hilfstabelle!$M$2=AND(R26&gt;=Hilfstabelle!$M$2),'Personalkosten 1. Jahr'!O38/(R26-Q26+1),0),IF('Personalkosten 1. Jahr'!P38&gt;0,'Personalkosten 1. Jahr'!O38/12,0))</f>
        <v>0</v>
      </c>
      <c r="N26" s="55">
        <f t="shared" si="0"/>
        <v>0</v>
      </c>
      <c r="O26" s="34"/>
      <c r="Q26" s="26">
        <f>IF('Personalkosten 1. Jahr'!F38="",1,IF(EOMONTH('Personalkosten 1. Jahr'!F38,0)=EOMONTH(Startseite!$D$16,0),1,IF(EOMONTH('Personalkosten 1. Jahr'!F38,0)=EOMONTH(Startseite!$D$16,1),2,IF(EOMONTH('Personalkosten 1. Jahr'!F38,0)=EOMONTH(Startseite!$D$16,2),3,IF(EOMONTH('Personalkosten 1. Jahr'!F38,0)=EOMONTH(Startseite!$D$16,3),4,IF(EOMONTH('Personalkosten 1. Jahr'!F38,0)=EOMONTH(Startseite!$D$16,4),5,IF(EOMONTH('Personalkosten 1. Jahr'!F38,0)=EOMONTH(Startseite!$D$16,5),6,IF(EOMONTH('Personalkosten 1. Jahr'!F38,0)=EOMONTH(Startseite!$D$16,6),7,IF(EOMONTH('Personalkosten 1. Jahr'!F38,0)=EOMONTH(Startseite!$D$16,7),8,IF(EOMONTH('Personalkosten 1. Jahr'!F38,0)=EOMONTH(Startseite!$D$16,8),9,IF(EOMONTH('Personalkosten 1. Jahr'!F38,0)=EOMONTH(Startseite!$D$16,9),10,IF(EOMONTH('Personalkosten 1. Jahr'!F38,0)=EOMONTH(Startseite!$D$16,10),11,IF(EOMONTH('Personalkosten 1. Jahr'!F38,0)=EOMONTH(Startseite!$D$16,11),12,"")))))))))))))</f>
        <v>1</v>
      </c>
      <c r="R26" s="26">
        <f>IF('Personalkosten 1. Jahr'!G38="",12,IF(EOMONTH('Personalkosten 1. Jahr'!G38,0)=EOMONTH(Startseite!$D$16,0),1,IF(EOMONTH('Personalkosten 1. Jahr'!G38,0)=EOMONTH(Startseite!$D$16,1),2,IF(EOMONTH('Personalkosten 1. Jahr'!G38,0)=EOMONTH(Startseite!$D$16,2),3,IF(EOMONTH('Personalkosten 1. Jahr'!G38,0)=EOMONTH(Startseite!$D$16,3),4,IF(EOMONTH('Personalkosten 1. Jahr'!G38,0)=EOMONTH(Startseite!$D$16,4),5,IF(EOMONTH('Personalkosten 1. Jahr'!G38,0)=EOMONTH(Startseite!$D$16,5),6,IF(EOMONTH('Personalkosten 1. Jahr'!G38,0)=EOMONTH(Startseite!$D$16,6),7,IF(EOMONTH('Personalkosten 1. Jahr'!G38,0)=EOMONTH(Startseite!$D$16,7),8,IF(EOMONTH('Personalkosten 1. Jahr'!G38,0)=EOMONTH(Startseite!$D$16,8),9,IF(EOMONTH('Personalkosten 1. Jahr'!G38,0)=EOMONTH(Startseite!$D$16,9),10,IF(EOMONTH('Personalkosten 1. Jahr'!G38,0)=EOMONTH(Startseite!$D$16,10),11,IF(EOMONTH('Personalkosten 1. Jahr'!G38,0)=EOMONTH(Startseite!$D$16,11),12,"")))))))))))))</f>
        <v>12</v>
      </c>
    </row>
    <row r="27" spans="1:18">
      <c r="A27" s="32" t="s">
        <v>352</v>
      </c>
      <c r="B27" s="56" t="e">
        <f>('Personalkosten 1. Jahr'!$O$40+'Personalkosten 1. Jahr'!$O$41)*Hilfstabelle!B28/'Personalkosten 1. Jahr'!$O$39</f>
        <v>#DIV/0!</v>
      </c>
      <c r="C27" s="56" t="e">
        <f>('Personalkosten 1. Jahr'!$O$40+'Personalkosten 1. Jahr'!$O$41)*Hilfstabelle!C28/'Personalkosten 1. Jahr'!$O$39</f>
        <v>#DIV/0!</v>
      </c>
      <c r="D27" s="56" t="e">
        <f>('Personalkosten 1. Jahr'!$O$40+'Personalkosten 1. Jahr'!$O$41)*Hilfstabelle!D28/'Personalkosten 1. Jahr'!$O$39</f>
        <v>#DIV/0!</v>
      </c>
      <c r="E27" s="56" t="e">
        <f>('Personalkosten 1. Jahr'!$O$40+'Personalkosten 1. Jahr'!$O$41)*Hilfstabelle!E28/'Personalkosten 1. Jahr'!$O$39</f>
        <v>#DIV/0!</v>
      </c>
      <c r="F27" s="56" t="e">
        <f>('Personalkosten 1. Jahr'!$O$40+'Personalkosten 1. Jahr'!$O$41)*Hilfstabelle!F28/'Personalkosten 1. Jahr'!$O$39</f>
        <v>#DIV/0!</v>
      </c>
      <c r="G27" s="56" t="e">
        <f>('Personalkosten 1. Jahr'!$O$40+'Personalkosten 1. Jahr'!$O$41)*Hilfstabelle!G28/'Personalkosten 1. Jahr'!$O$39</f>
        <v>#DIV/0!</v>
      </c>
      <c r="H27" s="56" t="e">
        <f>('Personalkosten 1. Jahr'!$O$40+'Personalkosten 1. Jahr'!$O$41)*Hilfstabelle!H28/'Personalkosten 1. Jahr'!$O$39</f>
        <v>#DIV/0!</v>
      </c>
      <c r="I27" s="56" t="e">
        <f>('Personalkosten 1. Jahr'!$O$40+'Personalkosten 1. Jahr'!$O$41)*Hilfstabelle!I28/'Personalkosten 1. Jahr'!$O$39</f>
        <v>#DIV/0!</v>
      </c>
      <c r="J27" s="56" t="e">
        <f>('Personalkosten 1. Jahr'!$O$40+'Personalkosten 1. Jahr'!$O$41)*Hilfstabelle!J28/'Personalkosten 1. Jahr'!$O$39</f>
        <v>#DIV/0!</v>
      </c>
      <c r="K27" s="56" t="e">
        <f>('Personalkosten 1. Jahr'!$O$40+'Personalkosten 1. Jahr'!$O$41)*Hilfstabelle!K28/'Personalkosten 1. Jahr'!$O$39</f>
        <v>#DIV/0!</v>
      </c>
      <c r="L27" s="56" t="e">
        <f>('Personalkosten 1. Jahr'!$O$40+'Personalkosten 1. Jahr'!$O$41)*Hilfstabelle!L28/'Personalkosten 1. Jahr'!$O$39</f>
        <v>#DIV/0!</v>
      </c>
      <c r="M27" s="56" t="e">
        <f>('Personalkosten 1. Jahr'!$O$40+'Personalkosten 1. Jahr'!$O$41)*Hilfstabelle!M28/'Personalkosten 1. Jahr'!$O$39</f>
        <v>#DIV/0!</v>
      </c>
      <c r="N27" s="55" t="e">
        <f t="shared" si="0"/>
        <v>#DIV/0!</v>
      </c>
      <c r="O27" s="34"/>
    </row>
    <row r="28" spans="1:18">
      <c r="A28" s="32" t="s">
        <v>5</v>
      </c>
      <c r="B28" s="56">
        <f t="shared" ref="B28:M28" si="2">SUM(B3:B26)</f>
        <v>0</v>
      </c>
      <c r="C28" s="56">
        <f t="shared" si="2"/>
        <v>0</v>
      </c>
      <c r="D28" s="56">
        <f t="shared" si="2"/>
        <v>0</v>
      </c>
      <c r="E28" s="56">
        <f t="shared" si="2"/>
        <v>0</v>
      </c>
      <c r="F28" s="56">
        <f t="shared" si="2"/>
        <v>0</v>
      </c>
      <c r="G28" s="56">
        <f t="shared" si="2"/>
        <v>0</v>
      </c>
      <c r="H28" s="56">
        <f t="shared" si="2"/>
        <v>0</v>
      </c>
      <c r="I28" s="56">
        <f t="shared" si="2"/>
        <v>0</v>
      </c>
      <c r="J28" s="56">
        <f t="shared" si="2"/>
        <v>0</v>
      </c>
      <c r="K28" s="56">
        <f t="shared" si="2"/>
        <v>0</v>
      </c>
      <c r="L28" s="56">
        <f t="shared" si="2"/>
        <v>0</v>
      </c>
      <c r="M28" s="56">
        <f t="shared" si="2"/>
        <v>0</v>
      </c>
      <c r="N28" s="55">
        <f t="shared" si="0"/>
        <v>0</v>
      </c>
      <c r="O28" s="34"/>
    </row>
    <row r="29" spans="1:18">
      <c r="A29" s="32" t="s">
        <v>5</v>
      </c>
      <c r="B29" s="56">
        <f t="shared" ref="B29:M29" si="3">IF(B28&gt;0,B27+B28,B28)</f>
        <v>0</v>
      </c>
      <c r="C29" s="56">
        <f t="shared" si="3"/>
        <v>0</v>
      </c>
      <c r="D29" s="56">
        <f t="shared" si="3"/>
        <v>0</v>
      </c>
      <c r="E29" s="56">
        <f t="shared" si="3"/>
        <v>0</v>
      </c>
      <c r="F29" s="56">
        <f t="shared" si="3"/>
        <v>0</v>
      </c>
      <c r="G29" s="56">
        <f t="shared" si="3"/>
        <v>0</v>
      </c>
      <c r="H29" s="56">
        <f t="shared" si="3"/>
        <v>0</v>
      </c>
      <c r="I29" s="56">
        <f t="shared" si="3"/>
        <v>0</v>
      </c>
      <c r="J29" s="56">
        <f t="shared" si="3"/>
        <v>0</v>
      </c>
      <c r="K29" s="56">
        <f t="shared" si="3"/>
        <v>0</v>
      </c>
      <c r="L29" s="56">
        <f t="shared" si="3"/>
        <v>0</v>
      </c>
      <c r="M29" s="56">
        <f t="shared" si="3"/>
        <v>0</v>
      </c>
      <c r="N29" s="55">
        <f t="shared" si="0"/>
        <v>0</v>
      </c>
      <c r="O29" s="34"/>
    </row>
    <row r="30" spans="1:18">
      <c r="A30" s="32"/>
      <c r="B30" s="56"/>
      <c r="C30" s="56"/>
      <c r="D30" s="56"/>
      <c r="E30" s="56"/>
      <c r="F30" s="56"/>
      <c r="G30" s="56"/>
      <c r="H30" s="56"/>
      <c r="I30" s="56"/>
      <c r="J30" s="56"/>
      <c r="K30" s="56"/>
      <c r="L30" s="56"/>
      <c r="M30" s="56"/>
      <c r="N30" s="56"/>
      <c r="O30" s="34"/>
    </row>
    <row r="31" spans="1:18">
      <c r="A31" s="32"/>
      <c r="B31" s="54"/>
      <c r="C31" s="56"/>
      <c r="D31" s="56"/>
      <c r="E31" s="56"/>
      <c r="F31" s="56"/>
      <c r="G31" s="56"/>
      <c r="H31" s="56"/>
      <c r="I31" s="56"/>
      <c r="J31" s="56"/>
      <c r="K31" s="56"/>
      <c r="L31" s="56"/>
      <c r="M31" s="56"/>
      <c r="N31" s="56"/>
      <c r="O31" s="34"/>
    </row>
    <row r="32" spans="1:18">
      <c r="A32" s="32"/>
      <c r="B32" s="56"/>
      <c r="C32" s="56"/>
      <c r="D32" s="56"/>
      <c r="E32" s="56"/>
      <c r="F32" s="56"/>
      <c r="G32" s="56"/>
      <c r="H32" s="56"/>
      <c r="I32" s="56"/>
      <c r="J32" s="56"/>
      <c r="K32" s="56"/>
      <c r="L32" s="56"/>
      <c r="M32" s="56"/>
      <c r="N32" s="56"/>
      <c r="O32" s="34"/>
    </row>
    <row r="33" spans="1:18">
      <c r="A33" s="32"/>
      <c r="B33" s="56"/>
      <c r="C33" s="56"/>
      <c r="D33" s="56"/>
      <c r="E33" s="56"/>
      <c r="F33" s="56"/>
      <c r="G33" s="56"/>
      <c r="H33" s="56"/>
      <c r="I33" s="56"/>
      <c r="J33" s="56"/>
      <c r="K33" s="56"/>
      <c r="L33" s="56"/>
      <c r="M33" s="56"/>
      <c r="N33" s="56"/>
      <c r="O33" s="34"/>
    </row>
    <row r="34" spans="1:18">
      <c r="A34" s="32"/>
      <c r="B34" s="56"/>
      <c r="C34" s="56"/>
      <c r="D34" s="56"/>
      <c r="E34" s="56"/>
      <c r="F34" s="56"/>
      <c r="G34" s="56"/>
      <c r="H34" s="56"/>
      <c r="I34" s="56"/>
      <c r="J34" s="56"/>
      <c r="K34" s="56"/>
      <c r="L34" s="56"/>
      <c r="M34" s="56"/>
      <c r="N34" s="56"/>
      <c r="O34" s="34"/>
      <c r="Q34" s="26" t="s">
        <v>544</v>
      </c>
      <c r="R34" s="994">
        <f>DATE(YEAR(Startseite!D16)+1,MONTH(Startseite!D16),DAY(Startseite!D16))</f>
        <v>45962</v>
      </c>
    </row>
    <row r="35" spans="1:18">
      <c r="A35" s="32" t="s">
        <v>350</v>
      </c>
      <c r="B35" s="36">
        <v>1</v>
      </c>
      <c r="C35" s="36">
        <v>2</v>
      </c>
      <c r="D35" s="36">
        <v>3</v>
      </c>
      <c r="E35" s="36">
        <v>4</v>
      </c>
      <c r="F35" s="36">
        <v>5</v>
      </c>
      <c r="G35" s="36">
        <v>6</v>
      </c>
      <c r="H35" s="36">
        <v>7</v>
      </c>
      <c r="I35" s="36">
        <v>8</v>
      </c>
      <c r="J35" s="36">
        <v>9</v>
      </c>
      <c r="K35" s="36">
        <v>10</v>
      </c>
      <c r="L35" s="36">
        <v>11</v>
      </c>
      <c r="M35" s="36">
        <v>12</v>
      </c>
      <c r="N35" s="57" t="s">
        <v>5</v>
      </c>
      <c r="O35" s="34"/>
      <c r="Q35" s="26" t="s">
        <v>528</v>
      </c>
      <c r="R35" s="26" t="s">
        <v>203</v>
      </c>
    </row>
    <row r="36" spans="1:18">
      <c r="A36" s="32">
        <v>1</v>
      </c>
      <c r="B36" s="54">
        <f>IF(Q36&gt;0,IF(Q36&lt;=Hilfstabelle!$B$35=AND(R36&gt;=Hilfstabelle!$B$35),'Personalkosten 2. Jahr'!M15/(R36-Q36+1),0),IF('Personalkosten 2. Jahr'!C15&gt;0,'Personalkosten 2. Jahr'!M15/12,0))</f>
        <v>0</v>
      </c>
      <c r="C36" s="54">
        <f>IF(Q36&gt;0,IF(Q36&lt;=Hilfstabelle!$C$35=AND(R36&gt;=Hilfstabelle!$C$35),'Personalkosten 2. Jahr'!M15/(R36-Q36+1),0),IF('Personalkosten 2. Jahr'!C15&gt;0,'Personalkosten 2. Jahr'!M15/12,0))</f>
        <v>0</v>
      </c>
      <c r="D36" s="54">
        <f>IF(Q36&gt;0,IF(Q36&lt;=Hilfstabelle!$D$35=AND(R36&gt;=Hilfstabelle!$D$35),'Personalkosten 2. Jahr'!M15/(R36-Q36+1),0),IF('Personalkosten 2. Jahr'!C15&gt;0,'Personalkosten 2. Jahr'!M15/12,0))</f>
        <v>0</v>
      </c>
      <c r="E36" s="54">
        <f>IF(Q36&gt;0,IF(Q36&lt;=Hilfstabelle!$E$35=AND(R36&gt;=Hilfstabelle!$E$35),'Personalkosten 2. Jahr'!M15/(R36-Q36+1),0),IF('Personalkosten 2. Jahr'!C15&gt;0,'Personalkosten 2. Jahr'!M15/12,0))</f>
        <v>0</v>
      </c>
      <c r="F36" s="54">
        <f>IF(Q36&gt;0,IF(Q36&lt;=Hilfstabelle!$F$35=AND(R36&gt;=Hilfstabelle!$F$35),'Personalkosten 2. Jahr'!M15/(R36-Q36+1),0),IF('Personalkosten 2. Jahr'!C15&gt;0,'Personalkosten 2. Jahr'!M15/12,0))</f>
        <v>0</v>
      </c>
      <c r="G36" s="54">
        <f>IF(Q36&gt;0,IF(Q36&lt;=Hilfstabelle!$G$35=AND(R36&gt;=Hilfstabelle!$G$35),'Personalkosten 2. Jahr'!M15/(R36-Q36+1),0),IF('Personalkosten 2. Jahr'!C15&gt;0,'Personalkosten 2. Jahr'!M15/12,0))</f>
        <v>0</v>
      </c>
      <c r="H36" s="54">
        <f>IF(Q36&gt;0,IF(Q36&lt;=Hilfstabelle!$H$35=AND(R36&gt;=Hilfstabelle!$H$35),'Personalkosten 2. Jahr'!M15/(R36-Q36+1),0),IF('Personalkosten 2. Jahr'!C15&gt;0,'Personalkosten 2. Jahr'!M15/12,0))</f>
        <v>0</v>
      </c>
      <c r="I36" s="54">
        <f>IF(Q36&gt;0,IF(Q36&lt;=Hilfstabelle!$I$35=AND(R36&gt;=Hilfstabelle!$I$35),'Personalkosten 2. Jahr'!M15/(R36-Q36+1),0),IF('Personalkosten 2. Jahr'!C15&gt;0,'Personalkosten 2. Jahr'!M15/12,0))</f>
        <v>0</v>
      </c>
      <c r="J36" s="54">
        <f>IF(Q36&gt;0,IF(Q36&lt;=Hilfstabelle!$J$35=AND(R36&gt;=Hilfstabelle!$J$35),'Personalkosten 2. Jahr'!M15/(R36-Q36+1),0),IF('Personalkosten 2. Jahr'!C15&gt;0,'Personalkosten 2. Jahr'!M15/12,0))</f>
        <v>0</v>
      </c>
      <c r="K36" s="54">
        <f>IF(Q36&gt;0,IF(Q36&lt;=Hilfstabelle!$K$35=AND(R36&gt;=Hilfstabelle!$K$35),'Personalkosten 2. Jahr'!M15/(R36-Q36+1),0),IF('Personalkosten 2. Jahr'!C15&gt;0,'Personalkosten 2. Jahr'!M15/12,0))</f>
        <v>0</v>
      </c>
      <c r="L36" s="54">
        <f>IF(Q36&gt;0,IF(Q36&lt;=Hilfstabelle!$L$35=AND(R36&gt;=Hilfstabelle!$L$35),'Personalkosten 2. Jahr'!M15/(R36-Q36+1),0),IF('Personalkosten 2. Jahr'!C15&gt;0,'Personalkosten 2. Jahr'!M15/12,0))</f>
        <v>0</v>
      </c>
      <c r="M36" s="54">
        <f>IF(Q36&gt;0,IF(Q36&lt;=Hilfstabelle!$M$35=AND(R36&gt;=Hilfstabelle!$M$35),'Personalkosten 2. Jahr'!M15/(R36-Q36+1),0),IF('Personalkosten 2. Jahr'!C15&gt;0,'Personalkosten 2. Jahr'!M15/12,0))</f>
        <v>0</v>
      </c>
      <c r="N36" s="55">
        <f t="shared" ref="N36:N62" si="4">SUM(B36:M36)</f>
        <v>0</v>
      </c>
      <c r="O36" s="34"/>
      <c r="Q36" s="26">
        <f>IF('Personalkosten 2. Jahr'!D15="",1,IF(EOMONTH('Personalkosten 2. Jahr'!D15,0)=EOMONTH($R$34,0),1,IF(EOMONTH('Personalkosten 2. Jahr'!D15,0)=EOMONTH($R$34,1),2,IF(EOMONTH('Personalkosten 2. Jahr'!D15,0)=EOMONTH($R$34,2),3,IF(EOMONTH('Personalkosten 2. Jahr'!D15,0)=EOMONTH($R$34,3),4,IF(EOMONTH('Personalkosten 2. Jahr'!D15,0)=EOMONTH($R$34,4),5,IF(EOMONTH('Personalkosten 2. Jahr'!D15,0)=EOMONTH($R$34,5),6,IF(EOMONTH('Personalkosten 2. Jahr'!D15,0)=EOMONTH($R$34,6),7,IF(EOMONTH('Personalkosten 2. Jahr'!D15,0)=EOMONTH($R$34,7),8,IF(EOMONTH('Personalkosten 2. Jahr'!D15,0)=EOMONTH($R$34,8),9,IF(EOMONTH('Personalkosten 2. Jahr'!D15,0)=EOMONTH($R$34,9),10,IF(EOMONTH('Personalkosten 2. Jahr'!D15,0)=EOMONTH($R$34,10),11,IF(EOMONTH('Personalkosten 2. Jahr'!D15,0)=EOMONTH($R$34,11),12,"")))))))))))))</f>
        <v>1</v>
      </c>
      <c r="R36" s="26">
        <f>IF('Personalkosten 2. Jahr'!E15="",12,IF(EOMONTH('Personalkosten 2. Jahr'!E15,0)=EOMONTH($R$34,0),1,IF(EOMONTH('Personalkosten 2. Jahr'!E15,0)=EOMONTH($R$34,1),2,IF(EOMONTH('Personalkosten 2. Jahr'!E15,0)=EOMONTH($R$34,2),3,IF(EOMONTH('Personalkosten 2. Jahr'!E15,0)=EOMONTH($R$34,3),4,IF(EOMONTH('Personalkosten 2. Jahr'!E15,0)=EOMONTH($R$34,4),5,IF(EOMONTH('Personalkosten 2. Jahr'!E15,0)=EOMONTH($R$34,5),6,IF(EOMONTH('Personalkosten 2. Jahr'!E15,0)=EOMONTH($R$34,6),7,IF(EOMONTH('Personalkosten 2. Jahr'!E15,0)=EOMONTH($R$34,7),8,IF(EOMONTH('Personalkosten 2. Jahr'!E15,0)=EOMONTH($R$34,8),9,IF(EOMONTH('Personalkosten 2. Jahr'!E15,0)=EOMONTH($R$34,9),10,IF(EOMONTH('Personalkosten 2. Jahr'!E15,0)=EOMONTH($R$34,10),11,IF(EOMONTH('Personalkosten 2. Jahr'!E15,0)=EOMONTH($R$34,11),12,"")))))))))))))</f>
        <v>12</v>
      </c>
    </row>
    <row r="37" spans="1:18">
      <c r="A37" s="32">
        <v>2</v>
      </c>
      <c r="B37" s="54">
        <f>IF(Q37&gt;0,IF(Q37&lt;=Hilfstabelle!$B$35=AND(R37&gt;=Hilfstabelle!$B$35),'Personalkosten 2. Jahr'!M16/(R37-Q37+1),0),IF('Personalkosten 2. Jahr'!C16&gt;0,'Personalkosten 2. Jahr'!M16/12,0))</f>
        <v>0</v>
      </c>
      <c r="C37" s="54">
        <f>IF(Q37&gt;0,IF(Q37&lt;=Hilfstabelle!$C$35=AND(R37&gt;=Hilfstabelle!$C$35),'Personalkosten 2. Jahr'!M16/(R37-Q37+1),0),IF('Personalkosten 2. Jahr'!C16&gt;0,'Personalkosten 2. Jahr'!M16/12,0))</f>
        <v>0</v>
      </c>
      <c r="D37" s="54">
        <f>IF(Q37&gt;0,IF(Q37&lt;=Hilfstabelle!$D$35=AND(R37&gt;=Hilfstabelle!$D$35),'Personalkosten 2. Jahr'!M16/(R37-Q37+1),0),IF('Personalkosten 2. Jahr'!C16&gt;0,'Personalkosten 2. Jahr'!M16/12,0))</f>
        <v>0</v>
      </c>
      <c r="E37" s="54">
        <f>IF(Q37&gt;0,IF(Q37&lt;=Hilfstabelle!$E$35=AND(R37&gt;=Hilfstabelle!$E$35),'Personalkosten 2. Jahr'!M16/(R37-Q37+1),0),IF('Personalkosten 2. Jahr'!C16&gt;0,'Personalkosten 2. Jahr'!M16/12,0))</f>
        <v>0</v>
      </c>
      <c r="F37" s="54">
        <f>IF(Q37&gt;0,IF(Q37&lt;=Hilfstabelle!$F$35=AND(R37&gt;=Hilfstabelle!$F$35),'Personalkosten 2. Jahr'!M16/(R37-Q37+1),0),IF('Personalkosten 2. Jahr'!C16&gt;0,'Personalkosten 2. Jahr'!M16/12,0))</f>
        <v>0</v>
      </c>
      <c r="G37" s="54">
        <f>IF(Q37&gt;0,IF(Q37&lt;=Hilfstabelle!$G$35=AND(R37&gt;=Hilfstabelle!$G$35),'Personalkosten 2. Jahr'!M16/(R37-Q37+1),0),IF('Personalkosten 2. Jahr'!C16&gt;0,'Personalkosten 2. Jahr'!M16/12,0))</f>
        <v>0</v>
      </c>
      <c r="H37" s="54">
        <f>IF(Q37&gt;0,IF(Q37&lt;=Hilfstabelle!$H$35=AND(R37&gt;=Hilfstabelle!$H$35),'Personalkosten 2. Jahr'!M16/(R37-Q37+1),0),IF('Personalkosten 2. Jahr'!C16&gt;0,'Personalkosten 2. Jahr'!M16/12,0))</f>
        <v>0</v>
      </c>
      <c r="I37" s="54">
        <f>IF(Q37&gt;0,IF(Q37&lt;=Hilfstabelle!$I$35=AND(R37&gt;=Hilfstabelle!$I$35),'Personalkosten 2. Jahr'!M16/(R37-Q37+1),0),IF('Personalkosten 2. Jahr'!C16&gt;0,'Personalkosten 2. Jahr'!M16/12,0))</f>
        <v>0</v>
      </c>
      <c r="J37" s="54">
        <f>IF(Q37&gt;0,IF(Q37&lt;=Hilfstabelle!$J$35=AND(R37&gt;=Hilfstabelle!$J$35),'Personalkosten 2. Jahr'!M16/(R37-Q37+1),0),IF('Personalkosten 2. Jahr'!C16&gt;0,'Personalkosten 2. Jahr'!M16/12,0))</f>
        <v>0</v>
      </c>
      <c r="K37" s="54">
        <f>IF(Q37&gt;0,IF(Q37&lt;=Hilfstabelle!$K$35=AND(R37&gt;=Hilfstabelle!$K$35),'Personalkosten 2. Jahr'!M16/(R37-Q37+1),0),IF('Personalkosten 2. Jahr'!C16&gt;0,'Personalkosten 2. Jahr'!M16/12,0))</f>
        <v>0</v>
      </c>
      <c r="L37" s="54">
        <f>IF(Q37&gt;0,IF(Q37&lt;=Hilfstabelle!$L$35=AND(R37&gt;=Hilfstabelle!$L$35),'Personalkosten 2. Jahr'!M16/(R37-Q37+1),0),IF('Personalkosten 2. Jahr'!C16&gt;0,'Personalkosten 2. Jahr'!M16/12,0))</f>
        <v>0</v>
      </c>
      <c r="M37" s="54">
        <f>IF(Q37&gt;0,IF(Q37&lt;=Hilfstabelle!$M$35=AND(R37&gt;=Hilfstabelle!$M$35),'Personalkosten 2. Jahr'!M16/(R37-Q37+1),0),IF('Personalkosten 2. Jahr'!C16&gt;0,'Personalkosten 2. Jahr'!M16/12,0))</f>
        <v>0</v>
      </c>
      <c r="N37" s="55">
        <f t="shared" si="4"/>
        <v>0</v>
      </c>
      <c r="O37" s="34"/>
      <c r="Q37" s="26">
        <f>IF('Personalkosten 2. Jahr'!D16="",1,IF(EOMONTH('Personalkosten 2. Jahr'!D16,0)=EOMONTH($R$34,0),1,IF(EOMONTH('Personalkosten 2. Jahr'!D16,0)=EOMONTH($R$34,1),2,IF(EOMONTH('Personalkosten 2. Jahr'!D16,0)=EOMONTH($R$34,2),3,IF(EOMONTH('Personalkosten 2. Jahr'!D16,0)=EOMONTH($R$34,3),4,IF(EOMONTH('Personalkosten 2. Jahr'!D16,0)=EOMONTH($R$34,4),5,IF(EOMONTH('Personalkosten 2. Jahr'!D16,0)=EOMONTH($R$34,5),6,IF(EOMONTH('Personalkosten 2. Jahr'!D16,0)=EOMONTH($R$34,6),7,IF(EOMONTH('Personalkosten 2. Jahr'!D16,0)=EOMONTH($R$34,7),8,IF(EOMONTH('Personalkosten 2. Jahr'!D16,0)=EOMONTH($R$34,8),9,IF(EOMONTH('Personalkosten 2. Jahr'!D16,0)=EOMONTH($R$34,9),10,IF(EOMONTH('Personalkosten 2. Jahr'!D16,0)=EOMONTH($R$34,10),11,IF(EOMONTH('Personalkosten 2. Jahr'!D16,0)=EOMONTH($R$34,11),12,"")))))))))))))</f>
        <v>1</v>
      </c>
      <c r="R37" s="26">
        <f>IF('Personalkosten 2. Jahr'!E16="",12,IF(EOMONTH('Personalkosten 2. Jahr'!E16,0)=EOMONTH($R$34,0),1,IF(EOMONTH('Personalkosten 2. Jahr'!E16,0)=EOMONTH($R$34,1),2,IF(EOMONTH('Personalkosten 2. Jahr'!E16,0)=EOMONTH($R$34,2),3,IF(EOMONTH('Personalkosten 2. Jahr'!E16,0)=EOMONTH($R$34,3),4,IF(EOMONTH('Personalkosten 2. Jahr'!E16,0)=EOMONTH($R$34,4),5,IF(EOMONTH('Personalkosten 2. Jahr'!E16,0)=EOMONTH($R$34,5),6,IF(EOMONTH('Personalkosten 2. Jahr'!E16,0)=EOMONTH($R$34,6),7,IF(EOMONTH('Personalkosten 2. Jahr'!E16,0)=EOMONTH($R$34,7),8,IF(EOMONTH('Personalkosten 2. Jahr'!E16,0)=EOMONTH($R$34,8),9,IF(EOMONTH('Personalkosten 2. Jahr'!E16,0)=EOMONTH($R$34,9),10,IF(EOMONTH('Personalkosten 2. Jahr'!E16,0)=EOMONTH($R$34,10),11,IF(EOMONTH('Personalkosten 2. Jahr'!E16,0)=EOMONTH($R$34,11),12,"")))))))))))))</f>
        <v>12</v>
      </c>
    </row>
    <row r="38" spans="1:18">
      <c r="A38" s="32">
        <v>3</v>
      </c>
      <c r="B38" s="54">
        <f>IF(Q38&gt;0,IF(Q38&lt;=Hilfstabelle!$B$35=AND(R38&gt;=Hilfstabelle!$B$35),'Personalkosten 2. Jahr'!M17/(R38-Q38+1),0),IF('Personalkosten 2. Jahr'!C17&gt;0,'Personalkosten 2. Jahr'!M17/12,0))</f>
        <v>0</v>
      </c>
      <c r="C38" s="54">
        <f>IF(Q38&gt;0,IF(Q38&lt;=Hilfstabelle!$C$35=AND(R38&gt;=Hilfstabelle!$C$35),'Personalkosten 2. Jahr'!M17/(R38-Q38+1),0),IF('Personalkosten 2. Jahr'!C17&gt;0,'Personalkosten 2. Jahr'!M17/12,0))</f>
        <v>0</v>
      </c>
      <c r="D38" s="54">
        <f>IF(Q38&gt;0,IF(Q38&lt;=Hilfstabelle!$D$35=AND(R38&gt;=Hilfstabelle!$D$35),'Personalkosten 2. Jahr'!M17/(R38-Q38+1),0),IF('Personalkosten 2. Jahr'!C17&gt;0,'Personalkosten 2. Jahr'!M17/12,0))</f>
        <v>0</v>
      </c>
      <c r="E38" s="54">
        <f>IF(Q38&gt;0,IF(Q38&lt;=Hilfstabelle!$E$35=AND(R38&gt;=Hilfstabelle!$E$35),'Personalkosten 2. Jahr'!M17/(R38-Q38+1),0),IF('Personalkosten 2. Jahr'!C17&gt;0,'Personalkosten 2. Jahr'!M17/12,0))</f>
        <v>0</v>
      </c>
      <c r="F38" s="54">
        <f>IF(Q38&gt;0,IF(Q38&lt;=Hilfstabelle!$F$35=AND(R38&gt;=Hilfstabelle!$F$35),'Personalkosten 2. Jahr'!M17/(R38-Q38+1),0),IF('Personalkosten 2. Jahr'!C17&gt;0,'Personalkosten 2. Jahr'!M17/12,0))</f>
        <v>0</v>
      </c>
      <c r="G38" s="54">
        <f>IF(Q38&gt;0,IF(Q38&lt;=Hilfstabelle!$G$35=AND(R38&gt;=Hilfstabelle!$G$35),'Personalkosten 2. Jahr'!M17/(R38-Q38+1),0),IF('Personalkosten 2. Jahr'!C17&gt;0,'Personalkosten 2. Jahr'!M17/12,0))</f>
        <v>0</v>
      </c>
      <c r="H38" s="54">
        <f>IF(Q38&gt;0,IF(Q38&lt;=Hilfstabelle!$H$35=AND(R38&gt;=Hilfstabelle!$H$35),'Personalkosten 2. Jahr'!M17/(R38-Q38+1),0),IF('Personalkosten 2. Jahr'!C17&gt;0,'Personalkosten 2. Jahr'!M17/12,0))</f>
        <v>0</v>
      </c>
      <c r="I38" s="54">
        <f>IF(Q38&gt;0,IF(Q38&lt;=Hilfstabelle!$I$35=AND(R38&gt;=Hilfstabelle!$I$35),'Personalkosten 2. Jahr'!M17/(R38-Q38+1),0),IF('Personalkosten 2. Jahr'!C17&gt;0,'Personalkosten 2. Jahr'!M17/12,0))</f>
        <v>0</v>
      </c>
      <c r="J38" s="54">
        <f>IF(Q38&gt;0,IF(Q38&lt;=Hilfstabelle!$J$35=AND(R38&gt;=Hilfstabelle!$J$35),'Personalkosten 2. Jahr'!M17/(R38-Q38+1),0),IF('Personalkosten 2. Jahr'!C17&gt;0,'Personalkosten 2. Jahr'!M17/12,0))</f>
        <v>0</v>
      </c>
      <c r="K38" s="54">
        <f>IF(Q38&gt;0,IF(Q38&lt;=Hilfstabelle!$K$35=AND(R38&gt;=Hilfstabelle!$K$35),'Personalkosten 2. Jahr'!M17/(R38-Q38+1),0),IF('Personalkosten 2. Jahr'!C17&gt;0,'Personalkosten 2. Jahr'!M17/12,0))</f>
        <v>0</v>
      </c>
      <c r="L38" s="54">
        <f>IF(Q38&gt;0,IF(Q38&lt;=Hilfstabelle!$L$35=AND(R38&gt;=Hilfstabelle!$L$35),'Personalkosten 2. Jahr'!M17/(R38-Q38+1),0),IF('Personalkosten 2. Jahr'!C17&gt;0,'Personalkosten 2. Jahr'!M17/12,0))</f>
        <v>0</v>
      </c>
      <c r="M38" s="54">
        <f>IF(Q38&gt;0,IF(Q38&lt;=Hilfstabelle!$M$35=AND(R38&gt;=Hilfstabelle!$M$35),'Personalkosten 2. Jahr'!M17/(R38-Q38+1),0),IF('Personalkosten 2. Jahr'!C17&gt;0,'Personalkosten 2. Jahr'!M17/12,0))</f>
        <v>0</v>
      </c>
      <c r="N38" s="55">
        <f t="shared" si="4"/>
        <v>0</v>
      </c>
      <c r="O38" s="34"/>
      <c r="Q38" s="26">
        <f>IF('Personalkosten 2. Jahr'!D17="",1,IF(EOMONTH('Personalkosten 2. Jahr'!D17,0)=EOMONTH($R$34,0),1,IF(EOMONTH('Personalkosten 2. Jahr'!D17,0)=EOMONTH($R$34,1),2,IF(EOMONTH('Personalkosten 2. Jahr'!D17,0)=EOMONTH($R$34,2),3,IF(EOMONTH('Personalkosten 2. Jahr'!D17,0)=EOMONTH($R$34,3),4,IF(EOMONTH('Personalkosten 2. Jahr'!D17,0)=EOMONTH($R$34,4),5,IF(EOMONTH('Personalkosten 2. Jahr'!D17,0)=EOMONTH($R$34,5),6,IF(EOMONTH('Personalkosten 2. Jahr'!D17,0)=EOMONTH($R$34,6),7,IF(EOMONTH('Personalkosten 2. Jahr'!D17,0)=EOMONTH($R$34,7),8,IF(EOMONTH('Personalkosten 2. Jahr'!D17,0)=EOMONTH($R$34,8),9,IF(EOMONTH('Personalkosten 2. Jahr'!D17,0)=EOMONTH($R$34,9),10,IF(EOMONTH('Personalkosten 2. Jahr'!D17,0)=EOMONTH($R$34,10),11,IF(EOMONTH('Personalkosten 2. Jahr'!D17,0)=EOMONTH($R$34,11),12,"")))))))))))))</f>
        <v>1</v>
      </c>
      <c r="R38" s="26">
        <f>IF('Personalkosten 2. Jahr'!E17="",12,IF(EOMONTH('Personalkosten 2. Jahr'!E17,0)=EOMONTH($R$34,0),1,IF(EOMONTH('Personalkosten 2. Jahr'!E17,0)=EOMONTH($R$34,1),2,IF(EOMONTH('Personalkosten 2. Jahr'!E17,0)=EOMONTH($R$34,2),3,IF(EOMONTH('Personalkosten 2. Jahr'!E17,0)=EOMONTH($R$34,3),4,IF(EOMONTH('Personalkosten 2. Jahr'!E17,0)=EOMONTH($R$34,4),5,IF(EOMONTH('Personalkosten 2. Jahr'!E17,0)=EOMONTH($R$34,5),6,IF(EOMONTH('Personalkosten 2. Jahr'!E17,0)=EOMONTH($R$34,6),7,IF(EOMONTH('Personalkosten 2. Jahr'!E17,0)=EOMONTH($R$34,7),8,IF(EOMONTH('Personalkosten 2. Jahr'!E17,0)=EOMONTH($R$34,8),9,IF(EOMONTH('Personalkosten 2. Jahr'!E17,0)=EOMONTH($R$34,9),10,IF(EOMONTH('Personalkosten 2. Jahr'!E17,0)=EOMONTH($R$34,10),11,IF(EOMONTH('Personalkosten 2. Jahr'!E17,0)=EOMONTH($R$34,11),12,"")))))))))))))</f>
        <v>12</v>
      </c>
    </row>
    <row r="39" spans="1:18">
      <c r="A39" s="32">
        <v>4</v>
      </c>
      <c r="B39" s="54">
        <f>IF(Q39&gt;0,IF(Q39&lt;=Hilfstabelle!$B$35=AND(R39&gt;=Hilfstabelle!$B$35),'Personalkosten 2. Jahr'!M18/(R39-Q39+1),0),IF('Personalkosten 2. Jahr'!C18&gt;0,'Personalkosten 2. Jahr'!M18/12,0))</f>
        <v>0</v>
      </c>
      <c r="C39" s="54">
        <f>IF(Q39&gt;0,IF(Q39&lt;=Hilfstabelle!$C$35=AND(R39&gt;=Hilfstabelle!$C$35),'Personalkosten 2. Jahr'!M18/(R39-Q39+1),0),IF('Personalkosten 2. Jahr'!C18&gt;0,'Personalkosten 2. Jahr'!M18/12,0))</f>
        <v>0</v>
      </c>
      <c r="D39" s="54">
        <f>IF(Q39&gt;0,IF(Q39&lt;=Hilfstabelle!$D$35=AND(R39&gt;=Hilfstabelle!$D$35),'Personalkosten 2. Jahr'!M18/(R39-Q39+1),0),IF('Personalkosten 2. Jahr'!C18&gt;0,'Personalkosten 2. Jahr'!M18/12,0))</f>
        <v>0</v>
      </c>
      <c r="E39" s="54">
        <f>IF(Q39&gt;0,IF(Q39&lt;=Hilfstabelle!$E$35=AND(R39&gt;=Hilfstabelle!$E$35),'Personalkosten 2. Jahr'!M18/(R39-Q39+1),0),IF('Personalkosten 2. Jahr'!C18&gt;0,'Personalkosten 2. Jahr'!M18/12,0))</f>
        <v>0</v>
      </c>
      <c r="F39" s="54">
        <f>IF(Q39&gt;0,IF(Q39&lt;=Hilfstabelle!$F$35=AND(R39&gt;=Hilfstabelle!$F$35),'Personalkosten 2. Jahr'!M18/(R39-Q39+1),0),IF('Personalkosten 2. Jahr'!C18&gt;0,'Personalkosten 2. Jahr'!M18/12,0))</f>
        <v>0</v>
      </c>
      <c r="G39" s="54">
        <f>IF(Q39&gt;0,IF(Q39&lt;=Hilfstabelle!$G$35=AND(R39&gt;=Hilfstabelle!$G$35),'Personalkosten 2. Jahr'!M18/(R39-Q39+1),0),IF('Personalkosten 2. Jahr'!C18&gt;0,'Personalkosten 2. Jahr'!M18/12,0))</f>
        <v>0</v>
      </c>
      <c r="H39" s="54">
        <f>IF(Q39&gt;0,IF(Q39&lt;=Hilfstabelle!$H$35=AND(R39&gt;=Hilfstabelle!$H$35),'Personalkosten 2. Jahr'!M18/(R39-Q39+1),0),IF('Personalkosten 2. Jahr'!C18&gt;0,'Personalkosten 2. Jahr'!M18/12,0))</f>
        <v>0</v>
      </c>
      <c r="I39" s="54">
        <f>IF(Q39&gt;0,IF(Q39&lt;=Hilfstabelle!$I$35=AND(R39&gt;=Hilfstabelle!$I$35),'Personalkosten 2. Jahr'!M18/(R39-Q39+1),0),IF('Personalkosten 2. Jahr'!C18&gt;0,'Personalkosten 2. Jahr'!M18/12,0))</f>
        <v>0</v>
      </c>
      <c r="J39" s="54">
        <f>IF(Q39&gt;0,IF(Q39&lt;=Hilfstabelle!$J$35=AND(R39&gt;=Hilfstabelle!$J$35),'Personalkosten 2. Jahr'!M18/(R39-Q39+1),0),IF('Personalkosten 2. Jahr'!C18&gt;0,'Personalkosten 2. Jahr'!M18/12,0))</f>
        <v>0</v>
      </c>
      <c r="K39" s="54">
        <f>IF(Q39&gt;0,IF(Q39&lt;=Hilfstabelle!$K$35=AND(R39&gt;=Hilfstabelle!$K$35),'Personalkosten 2. Jahr'!M18/(R39-Q39+1),0),IF('Personalkosten 2. Jahr'!C18&gt;0,'Personalkosten 2. Jahr'!M18/12,0))</f>
        <v>0</v>
      </c>
      <c r="L39" s="54">
        <f>IF(Q39&gt;0,IF(Q39&lt;=Hilfstabelle!$L$35=AND(R39&gt;=Hilfstabelle!$L$35),'Personalkosten 2. Jahr'!M18/(R39-Q39+1),0),IF('Personalkosten 2. Jahr'!C18&gt;0,'Personalkosten 2. Jahr'!M18/12,0))</f>
        <v>0</v>
      </c>
      <c r="M39" s="54">
        <f>IF(Q39&gt;0,IF(Q39&lt;=Hilfstabelle!$M$35=AND(R39&gt;=Hilfstabelle!$M$35),'Personalkosten 2. Jahr'!M18/(R39-Q39+1),0),IF('Personalkosten 2. Jahr'!C18&gt;0,'Personalkosten 2. Jahr'!M18/12,0))</f>
        <v>0</v>
      </c>
      <c r="N39" s="55">
        <f t="shared" si="4"/>
        <v>0</v>
      </c>
      <c r="O39" s="34"/>
      <c r="Q39" s="26">
        <f>IF('Personalkosten 2. Jahr'!D18="",1,IF(EOMONTH('Personalkosten 2. Jahr'!D18,0)=EOMONTH($R$34,0),1,IF(EOMONTH('Personalkosten 2. Jahr'!D18,0)=EOMONTH($R$34,1),2,IF(EOMONTH('Personalkosten 2. Jahr'!D18,0)=EOMONTH($R$34,2),3,IF(EOMONTH('Personalkosten 2. Jahr'!D18,0)=EOMONTH($R$34,3),4,IF(EOMONTH('Personalkosten 2. Jahr'!D18,0)=EOMONTH($R$34,4),5,IF(EOMONTH('Personalkosten 2. Jahr'!D18,0)=EOMONTH($R$34,5),6,IF(EOMONTH('Personalkosten 2. Jahr'!D18,0)=EOMONTH($R$34,6),7,IF(EOMONTH('Personalkosten 2. Jahr'!D18,0)=EOMONTH($R$34,7),8,IF(EOMONTH('Personalkosten 2. Jahr'!D18,0)=EOMONTH($R$34,8),9,IF(EOMONTH('Personalkosten 2. Jahr'!D18,0)=EOMONTH($R$34,9),10,IF(EOMONTH('Personalkosten 2. Jahr'!D18,0)=EOMONTH($R$34,10),11,IF(EOMONTH('Personalkosten 2. Jahr'!D18,0)=EOMONTH($R$34,11),12,"")))))))))))))</f>
        <v>1</v>
      </c>
      <c r="R39" s="26">
        <f>IF('Personalkosten 2. Jahr'!E18="",12,IF(EOMONTH('Personalkosten 2. Jahr'!E18,0)=EOMONTH($R$34,0),1,IF(EOMONTH('Personalkosten 2. Jahr'!E18,0)=EOMONTH($R$34,1),2,IF(EOMONTH('Personalkosten 2. Jahr'!E18,0)=EOMONTH($R$34,2),3,IF(EOMONTH('Personalkosten 2. Jahr'!E18,0)=EOMONTH($R$34,3),4,IF(EOMONTH('Personalkosten 2. Jahr'!E18,0)=EOMONTH($R$34,4),5,IF(EOMONTH('Personalkosten 2. Jahr'!E18,0)=EOMONTH($R$34,5),6,IF(EOMONTH('Personalkosten 2. Jahr'!E18,0)=EOMONTH($R$34,6),7,IF(EOMONTH('Personalkosten 2. Jahr'!E18,0)=EOMONTH($R$34,7),8,IF(EOMONTH('Personalkosten 2. Jahr'!E18,0)=EOMONTH($R$34,8),9,IF(EOMONTH('Personalkosten 2. Jahr'!E18,0)=EOMONTH($R$34,9),10,IF(EOMONTH('Personalkosten 2. Jahr'!E18,0)=EOMONTH($R$34,10),11,IF(EOMONTH('Personalkosten 2. Jahr'!E18,0)=EOMONTH($R$34,11),12,"")))))))))))))</f>
        <v>12</v>
      </c>
    </row>
    <row r="40" spans="1:18">
      <c r="A40" s="32">
        <v>5</v>
      </c>
      <c r="B40" s="54">
        <f>IF(Q40&gt;0,IF(Q40&lt;=Hilfstabelle!$B$35=AND(R40&gt;=Hilfstabelle!$B$35),'Personalkosten 2. Jahr'!M19/(R40-Q40+1),0),IF('Personalkosten 2. Jahr'!C19&gt;0,'Personalkosten 2. Jahr'!M19/12,0))</f>
        <v>0</v>
      </c>
      <c r="C40" s="54">
        <f>IF(Q40&gt;0,IF(Q40&lt;=Hilfstabelle!$C$35=AND(R40&gt;=Hilfstabelle!$C$35),'Personalkosten 2. Jahr'!M19/(R40-Q40+1),0),IF('Personalkosten 2. Jahr'!C19&gt;0,'Personalkosten 2. Jahr'!M19/12,0))</f>
        <v>0</v>
      </c>
      <c r="D40" s="54">
        <f>IF(Q40&gt;0,IF(Q40&lt;=Hilfstabelle!$D$35=AND(R40&gt;=Hilfstabelle!$D$35),'Personalkosten 2. Jahr'!M19/(R40-Q40+1),0),IF('Personalkosten 2. Jahr'!C19&gt;0,'Personalkosten 2. Jahr'!M19/12,0))</f>
        <v>0</v>
      </c>
      <c r="E40" s="54">
        <f>IF(Q40&gt;0,IF(Q40&lt;=Hilfstabelle!$E$35=AND(R40&gt;=Hilfstabelle!$E$35),'Personalkosten 2. Jahr'!M19/(R40-Q40+1),0),IF('Personalkosten 2. Jahr'!C19&gt;0,'Personalkosten 2. Jahr'!M19/12,0))</f>
        <v>0</v>
      </c>
      <c r="F40" s="54">
        <f>IF(Q40&gt;0,IF(Q40&lt;=Hilfstabelle!$F$35=AND(R40&gt;=Hilfstabelle!$F$35),'Personalkosten 2. Jahr'!M19/(R40-Q40+1),0),IF('Personalkosten 2. Jahr'!C19&gt;0,'Personalkosten 2. Jahr'!M19/12,0))</f>
        <v>0</v>
      </c>
      <c r="G40" s="54">
        <f>IF(Q40&gt;0,IF(Q40&lt;=Hilfstabelle!$G$35=AND(R40&gt;=Hilfstabelle!$G$35),'Personalkosten 2. Jahr'!M19/(R40-Q40+1),0),IF('Personalkosten 2. Jahr'!C19&gt;0,'Personalkosten 2. Jahr'!M19/12,0))</f>
        <v>0</v>
      </c>
      <c r="H40" s="54">
        <f>IF(Q40&gt;0,IF(Q40&lt;=Hilfstabelle!$H$35=AND(R40&gt;=Hilfstabelle!$H$35),'Personalkosten 2. Jahr'!M19/(R40-Q40+1),0),IF('Personalkosten 2. Jahr'!C19&gt;0,'Personalkosten 2. Jahr'!M19/12,0))</f>
        <v>0</v>
      </c>
      <c r="I40" s="54">
        <f>IF(Q40&gt;0,IF(Q40&lt;=Hilfstabelle!$I$35=AND(R40&gt;=Hilfstabelle!$I$35),'Personalkosten 2. Jahr'!M19/(R40-Q40+1),0),IF('Personalkosten 2. Jahr'!C19&gt;0,'Personalkosten 2. Jahr'!M19/12,0))</f>
        <v>0</v>
      </c>
      <c r="J40" s="54">
        <f>IF(Q40&gt;0,IF(Q40&lt;=Hilfstabelle!$J$35=AND(R40&gt;=Hilfstabelle!$J$35),'Personalkosten 2. Jahr'!M19/(R40-Q40+1),0),IF('Personalkosten 2. Jahr'!C19&gt;0,'Personalkosten 2. Jahr'!M19/12,0))</f>
        <v>0</v>
      </c>
      <c r="K40" s="54">
        <f>IF(Q40&gt;0,IF(Q40&lt;=Hilfstabelle!$K$35=AND(R40&gt;=Hilfstabelle!$K$35),'Personalkosten 2. Jahr'!M19/(R40-Q40+1),0),IF('Personalkosten 2. Jahr'!C19&gt;0,'Personalkosten 2. Jahr'!M19/12,0))</f>
        <v>0</v>
      </c>
      <c r="L40" s="54">
        <f>IF(Q40&gt;0,IF(Q40&lt;=Hilfstabelle!$L$35=AND(R40&gt;=Hilfstabelle!$L$35),'Personalkosten 2. Jahr'!M19/(R40-Q40+1),0),IF('Personalkosten 2. Jahr'!C19&gt;0,'Personalkosten 2. Jahr'!M19/12,0))</f>
        <v>0</v>
      </c>
      <c r="M40" s="54">
        <f>IF(Q40&gt;0,IF(Q40&lt;=Hilfstabelle!$M$35=AND(R40&gt;=Hilfstabelle!$M$35),'Personalkosten 2. Jahr'!M19/(R40-Q40+1),0),IF('Personalkosten 2. Jahr'!C19&gt;0,'Personalkosten 2. Jahr'!M19/12,0))</f>
        <v>0</v>
      </c>
      <c r="N40" s="55">
        <f t="shared" si="4"/>
        <v>0</v>
      </c>
      <c r="O40" s="34"/>
      <c r="Q40" s="26">
        <f>IF('Personalkosten 2. Jahr'!D19="",1,IF(EOMONTH('Personalkosten 2. Jahr'!D19,0)=EOMONTH($R$34,0),1,IF(EOMONTH('Personalkosten 2. Jahr'!D19,0)=EOMONTH($R$34,1),2,IF(EOMONTH('Personalkosten 2. Jahr'!D19,0)=EOMONTH($R$34,2),3,IF(EOMONTH('Personalkosten 2. Jahr'!D19,0)=EOMONTH($R$34,3),4,IF(EOMONTH('Personalkosten 2. Jahr'!D19,0)=EOMONTH($R$34,4),5,IF(EOMONTH('Personalkosten 2. Jahr'!D19,0)=EOMONTH($R$34,5),6,IF(EOMONTH('Personalkosten 2. Jahr'!D19,0)=EOMONTH($R$34,6),7,IF(EOMONTH('Personalkosten 2. Jahr'!D19,0)=EOMONTH($R$34,7),8,IF(EOMONTH('Personalkosten 2. Jahr'!D19,0)=EOMONTH($R$34,8),9,IF(EOMONTH('Personalkosten 2. Jahr'!D19,0)=EOMONTH($R$34,9),10,IF(EOMONTH('Personalkosten 2. Jahr'!D19,0)=EOMONTH($R$34,10),11,IF(EOMONTH('Personalkosten 2. Jahr'!D19,0)=EOMONTH($R$34,11),12,"")))))))))))))</f>
        <v>1</v>
      </c>
      <c r="R40" s="26">
        <f>IF('Personalkosten 2. Jahr'!E19="",12,IF(EOMONTH('Personalkosten 2. Jahr'!E19,0)=EOMONTH($R$34,0),1,IF(EOMONTH('Personalkosten 2. Jahr'!E19,0)=EOMONTH($R$34,1),2,IF(EOMONTH('Personalkosten 2. Jahr'!E19,0)=EOMONTH($R$34,2),3,IF(EOMONTH('Personalkosten 2. Jahr'!E19,0)=EOMONTH($R$34,3),4,IF(EOMONTH('Personalkosten 2. Jahr'!E19,0)=EOMONTH($R$34,4),5,IF(EOMONTH('Personalkosten 2. Jahr'!E19,0)=EOMONTH($R$34,5),6,IF(EOMONTH('Personalkosten 2. Jahr'!E19,0)=EOMONTH($R$34,6),7,IF(EOMONTH('Personalkosten 2. Jahr'!E19,0)=EOMONTH($R$34,7),8,IF(EOMONTH('Personalkosten 2. Jahr'!E19,0)=EOMONTH($R$34,8),9,IF(EOMONTH('Personalkosten 2. Jahr'!E19,0)=EOMONTH($R$34,9),10,IF(EOMONTH('Personalkosten 2. Jahr'!E19,0)=EOMONTH($R$34,10),11,IF(EOMONTH('Personalkosten 2. Jahr'!E19,0)=EOMONTH($R$34,11),12,"")))))))))))))</f>
        <v>12</v>
      </c>
    </row>
    <row r="41" spans="1:18">
      <c r="A41" s="32">
        <v>6</v>
      </c>
      <c r="B41" s="54">
        <f>IF(Q41&gt;0,IF(Q41&lt;=Hilfstabelle!$B$35=AND(R41&gt;=Hilfstabelle!$B$35),'Personalkosten 2. Jahr'!M20/(R41-Q41+1),0),IF('Personalkosten 2. Jahr'!C20&gt;0,'Personalkosten 2. Jahr'!M20/12,0))</f>
        <v>0</v>
      </c>
      <c r="C41" s="54">
        <f>IF(Q41&gt;0,IF(Q41&lt;=Hilfstabelle!$C$35=AND(R41&gt;=Hilfstabelle!$C$35),'Personalkosten 2. Jahr'!M20/(R41-Q41+1),0),IF('Personalkosten 2. Jahr'!C20&gt;0,'Personalkosten 2. Jahr'!M20/12,0))</f>
        <v>0</v>
      </c>
      <c r="D41" s="54">
        <f>IF(Q41&gt;0,IF(Q41&lt;=Hilfstabelle!$D$35=AND(R41&gt;=Hilfstabelle!$D$35),'Personalkosten 2. Jahr'!M20/(R41-Q41+1),0),IF('Personalkosten 2. Jahr'!C20&gt;0,'Personalkosten 2. Jahr'!M20/12,0))</f>
        <v>0</v>
      </c>
      <c r="E41" s="54">
        <f>IF(Q41&gt;0,IF(Q41&lt;=Hilfstabelle!$E$35=AND(R41&gt;=Hilfstabelle!$E$35),'Personalkosten 2. Jahr'!M20/(R41-Q41+1),0),IF('Personalkosten 2. Jahr'!C20&gt;0,'Personalkosten 2. Jahr'!M20/12,0))</f>
        <v>0</v>
      </c>
      <c r="F41" s="54">
        <f>IF(Q41&gt;0,IF(Q41&lt;=Hilfstabelle!$F$35=AND(R41&gt;=Hilfstabelle!$F$35),'Personalkosten 2. Jahr'!M20/(R41-Q41+1),0),IF('Personalkosten 2. Jahr'!C20&gt;0,'Personalkosten 2. Jahr'!M20/12,0))</f>
        <v>0</v>
      </c>
      <c r="G41" s="54">
        <f>IF(Q41&gt;0,IF(Q41&lt;=Hilfstabelle!$G$35=AND(R41&gt;=Hilfstabelle!$G$35),'Personalkosten 2. Jahr'!M20/(R41-Q41+1),0),IF('Personalkosten 2. Jahr'!C20&gt;0,'Personalkosten 2. Jahr'!M20/12,0))</f>
        <v>0</v>
      </c>
      <c r="H41" s="54">
        <f>IF(Q41&gt;0,IF(Q41&lt;=Hilfstabelle!$H$35=AND(R41&gt;=Hilfstabelle!$H$35),'Personalkosten 2. Jahr'!M20/(R41-Q41+1),0),IF('Personalkosten 2. Jahr'!C20&gt;0,'Personalkosten 2. Jahr'!M20/12,0))</f>
        <v>0</v>
      </c>
      <c r="I41" s="54">
        <f>IF(Q41&gt;0,IF(Q41&lt;=Hilfstabelle!$I$35=AND(R41&gt;=Hilfstabelle!$I$35),'Personalkosten 2. Jahr'!M20/(R41-Q41+1),0),IF('Personalkosten 2. Jahr'!C20&gt;0,'Personalkosten 2. Jahr'!M20/12,0))</f>
        <v>0</v>
      </c>
      <c r="J41" s="54">
        <f>IF(Q41&gt;0,IF(Q41&lt;=Hilfstabelle!$J$35=AND(R41&gt;=Hilfstabelle!$J$35),'Personalkosten 2. Jahr'!M20/(R41-Q41+1),0),IF('Personalkosten 2. Jahr'!C20&gt;0,'Personalkosten 2. Jahr'!M20/12,0))</f>
        <v>0</v>
      </c>
      <c r="K41" s="54">
        <f>IF(Q41&gt;0,IF(Q41&lt;=Hilfstabelle!$K$35=AND(R41&gt;=Hilfstabelle!$K$35),'Personalkosten 2. Jahr'!M20/(R41-Q41+1),0),IF('Personalkosten 2. Jahr'!C20&gt;0,'Personalkosten 2. Jahr'!M20/12,0))</f>
        <v>0</v>
      </c>
      <c r="L41" s="54">
        <f>IF(Q41&gt;0,IF(Q41&lt;=Hilfstabelle!$L$35=AND(R41&gt;=Hilfstabelle!$L$35),'Personalkosten 2. Jahr'!M20/(R41-Q41+1),0),IF('Personalkosten 2. Jahr'!C20&gt;0,'Personalkosten 2. Jahr'!M20/12,0))</f>
        <v>0</v>
      </c>
      <c r="M41" s="54">
        <f>IF(Q41&gt;0,IF(Q41&lt;=Hilfstabelle!$M$35=AND(R41&gt;=Hilfstabelle!$M$35),'Personalkosten 2. Jahr'!M20/(R41-Q41+1),0),IF('Personalkosten 2. Jahr'!C20&gt;0,'Personalkosten 2. Jahr'!M20/12,0))</f>
        <v>0</v>
      </c>
      <c r="N41" s="55">
        <f t="shared" si="4"/>
        <v>0</v>
      </c>
      <c r="O41" s="34"/>
      <c r="Q41" s="26">
        <f>IF('Personalkosten 2. Jahr'!D20="",1,IF(EOMONTH('Personalkosten 2. Jahr'!D20,0)=EOMONTH($R$34,0),1,IF(EOMONTH('Personalkosten 2. Jahr'!D20,0)=EOMONTH($R$34,1),2,IF(EOMONTH('Personalkosten 2. Jahr'!D20,0)=EOMONTH($R$34,2),3,IF(EOMONTH('Personalkosten 2. Jahr'!D20,0)=EOMONTH($R$34,3),4,IF(EOMONTH('Personalkosten 2. Jahr'!D20,0)=EOMONTH($R$34,4),5,IF(EOMONTH('Personalkosten 2. Jahr'!D20,0)=EOMONTH($R$34,5),6,IF(EOMONTH('Personalkosten 2. Jahr'!D20,0)=EOMONTH($R$34,6),7,IF(EOMONTH('Personalkosten 2. Jahr'!D20,0)=EOMONTH($R$34,7),8,IF(EOMONTH('Personalkosten 2. Jahr'!D20,0)=EOMONTH($R$34,8),9,IF(EOMONTH('Personalkosten 2. Jahr'!D20,0)=EOMONTH($R$34,9),10,IF(EOMONTH('Personalkosten 2. Jahr'!D20,0)=EOMONTH($R$34,10),11,IF(EOMONTH('Personalkosten 2. Jahr'!D20,0)=EOMONTH($R$34,11),12,"")))))))))))))</f>
        <v>1</v>
      </c>
      <c r="R41" s="26">
        <f>IF('Personalkosten 2. Jahr'!E20="",12,IF(EOMONTH('Personalkosten 2. Jahr'!E20,0)=EOMONTH($R$34,0),1,IF(EOMONTH('Personalkosten 2. Jahr'!E20,0)=EOMONTH($R$34,1),2,IF(EOMONTH('Personalkosten 2. Jahr'!E20,0)=EOMONTH($R$34,2),3,IF(EOMONTH('Personalkosten 2. Jahr'!E20,0)=EOMONTH($R$34,3),4,IF(EOMONTH('Personalkosten 2. Jahr'!E20,0)=EOMONTH($R$34,4),5,IF(EOMONTH('Personalkosten 2. Jahr'!E20,0)=EOMONTH($R$34,5),6,IF(EOMONTH('Personalkosten 2. Jahr'!E20,0)=EOMONTH($R$34,6),7,IF(EOMONTH('Personalkosten 2. Jahr'!E20,0)=EOMONTH($R$34,7),8,IF(EOMONTH('Personalkosten 2. Jahr'!E20,0)=EOMONTH($R$34,8),9,IF(EOMONTH('Personalkosten 2. Jahr'!E20,0)=EOMONTH($R$34,9),10,IF(EOMONTH('Personalkosten 2. Jahr'!E20,0)=EOMONTH($R$34,10),11,IF(EOMONTH('Personalkosten 2. Jahr'!E20,0)=EOMONTH($R$34,11),12,"")))))))))))))</f>
        <v>12</v>
      </c>
    </row>
    <row r="42" spans="1:18">
      <c r="A42" s="32">
        <v>7</v>
      </c>
      <c r="B42" s="54">
        <f>IF(Q42&gt;0,IF(Q42&lt;=Hilfstabelle!$B$35=AND(R42&gt;=Hilfstabelle!$B$35),'Personalkosten 2. Jahr'!M21/(R42-Q42+1),0),IF('Personalkosten 2. Jahr'!C21&gt;0,'Personalkosten 2. Jahr'!M21/12,0))</f>
        <v>0</v>
      </c>
      <c r="C42" s="54">
        <f>IF(Q42&gt;0,IF(Q42&lt;=Hilfstabelle!$C$35=AND(R42&gt;=Hilfstabelle!$C$35),'Personalkosten 2. Jahr'!M21/(R42-Q42+1),0),IF('Personalkosten 2. Jahr'!C21&gt;0,'Personalkosten 2. Jahr'!M21/12,0))</f>
        <v>0</v>
      </c>
      <c r="D42" s="54">
        <f>IF(Q42&gt;0,IF(Q42&lt;=Hilfstabelle!$D$35=AND(R42&gt;=Hilfstabelle!$D$35),'Personalkosten 2. Jahr'!M21/(R42-Q42+1),0),IF('Personalkosten 2. Jahr'!C21&gt;0,'Personalkosten 2. Jahr'!M21/12,0))</f>
        <v>0</v>
      </c>
      <c r="E42" s="54">
        <f>IF(Q42&gt;0,IF(Q42&lt;=Hilfstabelle!$E$35=AND(R42&gt;=Hilfstabelle!$E$35),'Personalkosten 2. Jahr'!M21/(R42-Q42+1),0),IF('Personalkosten 2. Jahr'!C21&gt;0,'Personalkosten 2. Jahr'!M21/12,0))</f>
        <v>0</v>
      </c>
      <c r="F42" s="54">
        <f>IF(Q42&gt;0,IF(Q42&lt;=Hilfstabelle!$F$35=AND(R42&gt;=Hilfstabelle!$F$35),'Personalkosten 2. Jahr'!M21/(R42-Q42+1),0),IF('Personalkosten 2. Jahr'!C21&gt;0,'Personalkosten 2. Jahr'!M21/12,0))</f>
        <v>0</v>
      </c>
      <c r="G42" s="54">
        <f>IF(Q42&gt;0,IF(Q42&lt;=Hilfstabelle!$G$35=AND(R42&gt;=Hilfstabelle!$G$35),'Personalkosten 2. Jahr'!M21/(R42-Q42+1),0),IF('Personalkosten 2. Jahr'!C21&gt;0,'Personalkosten 2. Jahr'!M21/12,0))</f>
        <v>0</v>
      </c>
      <c r="H42" s="54">
        <f>IF(Q42&gt;0,IF(Q42&lt;=Hilfstabelle!$H$35=AND(R42&gt;=Hilfstabelle!$H$35),'Personalkosten 2. Jahr'!M21/(R42-Q42+1),0),IF('Personalkosten 2. Jahr'!C21&gt;0,'Personalkosten 2. Jahr'!M21/12,0))</f>
        <v>0</v>
      </c>
      <c r="I42" s="54">
        <f>IF(Q42&gt;0,IF(Q42&lt;=Hilfstabelle!$I$35=AND(R42&gt;=Hilfstabelle!$I$35),'Personalkosten 2. Jahr'!M21/(R42-Q42+1),0),IF('Personalkosten 2. Jahr'!C21&gt;0,'Personalkosten 2. Jahr'!M21/12,0))</f>
        <v>0</v>
      </c>
      <c r="J42" s="54">
        <f>IF(Q42&gt;0,IF(Q42&lt;=Hilfstabelle!$J$35=AND(R42&gt;=Hilfstabelle!$J$35),'Personalkosten 2. Jahr'!M21/(R42-Q42+1),0),IF('Personalkosten 2. Jahr'!C21&gt;0,'Personalkosten 2. Jahr'!M21/12,0))</f>
        <v>0</v>
      </c>
      <c r="K42" s="54">
        <f>IF(Q42&gt;0,IF(Q42&lt;=Hilfstabelle!$K$35=AND(R42&gt;=Hilfstabelle!$K$35),'Personalkosten 2. Jahr'!M21/(R42-Q42+1),0),IF('Personalkosten 2. Jahr'!C21&gt;0,'Personalkosten 2. Jahr'!M21/12,0))</f>
        <v>0</v>
      </c>
      <c r="L42" s="54">
        <f>IF(Q42&gt;0,IF(Q42&lt;=Hilfstabelle!$L$35=AND(R42&gt;=Hilfstabelle!$L$35),'Personalkosten 2. Jahr'!M21/(R42-Q42+1),0),IF('Personalkosten 2. Jahr'!C21&gt;0,'Personalkosten 2. Jahr'!M21/12,0))</f>
        <v>0</v>
      </c>
      <c r="M42" s="54">
        <f>IF(Q42&gt;0,IF(Q42&lt;=Hilfstabelle!$M$35=AND(R42&gt;=Hilfstabelle!$M$35),'Personalkosten 2. Jahr'!M21/(R42-Q42+1),0),IF('Personalkosten 2. Jahr'!C21&gt;0,'Personalkosten 2. Jahr'!M21/12,0))</f>
        <v>0</v>
      </c>
      <c r="N42" s="55">
        <f t="shared" ref="N42:N53" si="5">SUM(B42:M42)</f>
        <v>0</v>
      </c>
      <c r="O42" s="34"/>
      <c r="Q42" s="26">
        <f>IF('Personalkosten 2. Jahr'!D21="",1,IF(EOMONTH('Personalkosten 2. Jahr'!D21,0)=EOMONTH($R$34,0),1,IF(EOMONTH('Personalkosten 2. Jahr'!D21,0)=EOMONTH($R$34,1),2,IF(EOMONTH('Personalkosten 2. Jahr'!D21,0)=EOMONTH($R$34,2),3,IF(EOMONTH('Personalkosten 2. Jahr'!D21,0)=EOMONTH($R$34,3),4,IF(EOMONTH('Personalkosten 2. Jahr'!D21,0)=EOMONTH($R$34,4),5,IF(EOMONTH('Personalkosten 2. Jahr'!D21,0)=EOMONTH($R$34,5),6,IF(EOMONTH('Personalkosten 2. Jahr'!D21,0)=EOMONTH($R$34,6),7,IF(EOMONTH('Personalkosten 2. Jahr'!D21,0)=EOMONTH($R$34,7),8,IF(EOMONTH('Personalkosten 2. Jahr'!D21,0)=EOMONTH($R$34,8),9,IF(EOMONTH('Personalkosten 2. Jahr'!D21,0)=EOMONTH($R$34,9),10,IF(EOMONTH('Personalkosten 2. Jahr'!D21,0)=EOMONTH($R$34,10),11,IF(EOMONTH('Personalkosten 2. Jahr'!D21,0)=EOMONTH($R$34,11),12,"")))))))))))))</f>
        <v>1</v>
      </c>
      <c r="R42" s="26">
        <f>IF('Personalkosten 2. Jahr'!E21="",12,IF(EOMONTH('Personalkosten 2. Jahr'!E21,0)=EOMONTH($R$34,0),1,IF(EOMONTH('Personalkosten 2. Jahr'!E21,0)=EOMONTH($R$34,1),2,IF(EOMONTH('Personalkosten 2. Jahr'!E21,0)=EOMONTH($R$34,2),3,IF(EOMONTH('Personalkosten 2. Jahr'!E21,0)=EOMONTH($R$34,3),4,IF(EOMONTH('Personalkosten 2. Jahr'!E21,0)=EOMONTH($R$34,4),5,IF(EOMONTH('Personalkosten 2. Jahr'!E21,0)=EOMONTH($R$34,5),6,IF(EOMONTH('Personalkosten 2. Jahr'!E21,0)=EOMONTH($R$34,6),7,IF(EOMONTH('Personalkosten 2. Jahr'!E21,0)=EOMONTH($R$34,7),8,IF(EOMONTH('Personalkosten 2. Jahr'!E21,0)=EOMONTH($R$34,8),9,IF(EOMONTH('Personalkosten 2. Jahr'!E21,0)=EOMONTH($R$34,9),10,IF(EOMONTH('Personalkosten 2. Jahr'!E21,0)=EOMONTH($R$34,10),11,IF(EOMONTH('Personalkosten 2. Jahr'!E21,0)=EOMONTH($R$34,11),12,"")))))))))))))</f>
        <v>12</v>
      </c>
    </row>
    <row r="43" spans="1:18">
      <c r="A43" s="32">
        <v>8</v>
      </c>
      <c r="B43" s="54">
        <f>IF(Q43&gt;0,IF(Q43&lt;=Hilfstabelle!$B$35=AND(R43&gt;=Hilfstabelle!$B$35),'Personalkosten 2. Jahr'!M22/(R43-Q43+1),0),IF('Personalkosten 2. Jahr'!C22&gt;0,'Personalkosten 2. Jahr'!M22/12,0))</f>
        <v>0</v>
      </c>
      <c r="C43" s="54">
        <f>IF(Q43&gt;0,IF(Q43&lt;=Hilfstabelle!$C$35=AND(R43&gt;=Hilfstabelle!$C$35),'Personalkosten 2. Jahr'!M22/(R43-Q43+1),0),IF('Personalkosten 2. Jahr'!C22&gt;0,'Personalkosten 2. Jahr'!M22/12,0))</f>
        <v>0</v>
      </c>
      <c r="D43" s="54">
        <f>IF(Q43&gt;0,IF(Q43&lt;=Hilfstabelle!$D$35=AND(R43&gt;=Hilfstabelle!$D$35),'Personalkosten 2. Jahr'!M22/(R43-Q43+1),0),IF('Personalkosten 2. Jahr'!C22&gt;0,'Personalkosten 2. Jahr'!M22/12,0))</f>
        <v>0</v>
      </c>
      <c r="E43" s="54">
        <f>IF(Q43&gt;0,IF(Q43&lt;=Hilfstabelle!$E$35=AND(R43&gt;=Hilfstabelle!$E$35),'Personalkosten 2. Jahr'!M22/(R43-Q43+1),0),IF('Personalkosten 2. Jahr'!C22&gt;0,'Personalkosten 2. Jahr'!M22/12,0))</f>
        <v>0</v>
      </c>
      <c r="F43" s="54">
        <f>IF(Q43&gt;0,IF(Q43&lt;=Hilfstabelle!$F$35=AND(R43&gt;=Hilfstabelle!$F$35),'Personalkosten 2. Jahr'!M22/(R43-Q43+1),0),IF('Personalkosten 2. Jahr'!C22&gt;0,'Personalkosten 2. Jahr'!M22/12,0))</f>
        <v>0</v>
      </c>
      <c r="G43" s="54">
        <f>IF(Q43&gt;0,IF(Q43&lt;=Hilfstabelle!$G$35=AND(R43&gt;=Hilfstabelle!$G$35),'Personalkosten 2. Jahr'!M22/(R43-Q43+1),0),IF('Personalkosten 2. Jahr'!C22&gt;0,'Personalkosten 2. Jahr'!M22/12,0))</f>
        <v>0</v>
      </c>
      <c r="H43" s="54">
        <f>IF(Q43&gt;0,IF(Q43&lt;=Hilfstabelle!$H$35=AND(R43&gt;=Hilfstabelle!$H$35),'Personalkosten 2. Jahr'!M22/(R43-Q43+1),0),IF('Personalkosten 2. Jahr'!C22&gt;0,'Personalkosten 2. Jahr'!M22/12,0))</f>
        <v>0</v>
      </c>
      <c r="I43" s="54">
        <f>IF(Q43&gt;0,IF(Q43&lt;=Hilfstabelle!$I$35=AND(R43&gt;=Hilfstabelle!$I$35),'Personalkosten 2. Jahr'!M22/(R43-Q43+1),0),IF('Personalkosten 2. Jahr'!C22&gt;0,'Personalkosten 2. Jahr'!M22/12,0))</f>
        <v>0</v>
      </c>
      <c r="J43" s="54">
        <f>IF(Q43&gt;0,IF(Q43&lt;=Hilfstabelle!$J$35=AND(R43&gt;=Hilfstabelle!$J$35),'Personalkosten 2. Jahr'!M22/(R43-Q43+1),0),IF('Personalkosten 2. Jahr'!C22&gt;0,'Personalkosten 2. Jahr'!M22/12,0))</f>
        <v>0</v>
      </c>
      <c r="K43" s="54">
        <f>IF(Q43&gt;0,IF(Q43&lt;=Hilfstabelle!$K$35=AND(R43&gt;=Hilfstabelle!$K$35),'Personalkosten 2. Jahr'!M22/(R43-Q43+1),0),IF('Personalkosten 2. Jahr'!C22&gt;0,'Personalkosten 2. Jahr'!M22/12,0))</f>
        <v>0</v>
      </c>
      <c r="L43" s="54">
        <f>IF(Q43&gt;0,IF(Q43&lt;=Hilfstabelle!$L$35=AND(R43&gt;=Hilfstabelle!$L$35),'Personalkosten 2. Jahr'!M22/(R43-Q43+1),0),IF('Personalkosten 2. Jahr'!C22&gt;0,'Personalkosten 2. Jahr'!M22/12,0))</f>
        <v>0</v>
      </c>
      <c r="M43" s="54">
        <f>IF(Q43&gt;0,IF(Q43&lt;=Hilfstabelle!$M$35=AND(R43&gt;=Hilfstabelle!$M$35),'Personalkosten 2. Jahr'!M22/(R43-Q43+1),0),IF('Personalkosten 2. Jahr'!C22&gt;0,'Personalkosten 2. Jahr'!M22/12,0))</f>
        <v>0</v>
      </c>
      <c r="N43" s="55">
        <f t="shared" si="5"/>
        <v>0</v>
      </c>
      <c r="O43" s="34"/>
      <c r="Q43" s="26">
        <f>IF('Personalkosten 2. Jahr'!D22="",1,IF(EOMONTH('Personalkosten 2. Jahr'!D22,0)=EOMONTH($R$34,0),1,IF(EOMONTH('Personalkosten 2. Jahr'!D22,0)=EOMONTH($R$34,1),2,IF(EOMONTH('Personalkosten 2. Jahr'!D22,0)=EOMONTH($R$34,2),3,IF(EOMONTH('Personalkosten 2. Jahr'!D22,0)=EOMONTH($R$34,3),4,IF(EOMONTH('Personalkosten 2. Jahr'!D22,0)=EOMONTH($R$34,4),5,IF(EOMONTH('Personalkosten 2. Jahr'!D22,0)=EOMONTH($R$34,5),6,IF(EOMONTH('Personalkosten 2. Jahr'!D22,0)=EOMONTH($R$34,6),7,IF(EOMONTH('Personalkosten 2. Jahr'!D22,0)=EOMONTH($R$34,7),8,IF(EOMONTH('Personalkosten 2. Jahr'!D22,0)=EOMONTH($R$34,8),9,IF(EOMONTH('Personalkosten 2. Jahr'!D22,0)=EOMONTH($R$34,9),10,IF(EOMONTH('Personalkosten 2. Jahr'!D22,0)=EOMONTH($R$34,10),11,IF(EOMONTH('Personalkosten 2. Jahr'!D22,0)=EOMONTH($R$34,11),12,"")))))))))))))</f>
        <v>1</v>
      </c>
      <c r="R43" s="26">
        <f>IF('Personalkosten 2. Jahr'!E22="",12,IF(EOMONTH('Personalkosten 2. Jahr'!E22,0)=EOMONTH($R$34,0),1,IF(EOMONTH('Personalkosten 2. Jahr'!E22,0)=EOMONTH($R$34,1),2,IF(EOMONTH('Personalkosten 2. Jahr'!E22,0)=EOMONTH($R$34,2),3,IF(EOMONTH('Personalkosten 2. Jahr'!E22,0)=EOMONTH($R$34,3),4,IF(EOMONTH('Personalkosten 2. Jahr'!E22,0)=EOMONTH($R$34,4),5,IF(EOMONTH('Personalkosten 2. Jahr'!E22,0)=EOMONTH($R$34,5),6,IF(EOMONTH('Personalkosten 2. Jahr'!E22,0)=EOMONTH($R$34,6),7,IF(EOMONTH('Personalkosten 2. Jahr'!E22,0)=EOMONTH($R$34,7),8,IF(EOMONTH('Personalkosten 2. Jahr'!E22,0)=EOMONTH($R$34,8),9,IF(EOMONTH('Personalkosten 2. Jahr'!E22,0)=EOMONTH($R$34,9),10,IF(EOMONTH('Personalkosten 2. Jahr'!E22,0)=EOMONTH($R$34,10),11,IF(EOMONTH('Personalkosten 2. Jahr'!E22,0)=EOMONTH($R$34,11),12,"")))))))))))))</f>
        <v>12</v>
      </c>
    </row>
    <row r="44" spans="1:18">
      <c r="A44" s="32">
        <v>9</v>
      </c>
      <c r="B44" s="54">
        <f>IF(Q44&gt;0,IF(Q44&lt;=Hilfstabelle!$B$35=AND(R44&gt;=Hilfstabelle!$B$35),'Personalkosten 2. Jahr'!M23/(R44-Q44+1),0),IF('Personalkosten 2. Jahr'!C23&gt;0,'Personalkosten 2. Jahr'!M23/12,0))</f>
        <v>0</v>
      </c>
      <c r="C44" s="54">
        <f>IF(Q44&gt;0,IF(Q44&lt;=Hilfstabelle!$C$35=AND(R44&gt;=Hilfstabelle!$C$35),'Personalkosten 2. Jahr'!M23/(R44-Q44+1),0),IF('Personalkosten 2. Jahr'!C23&gt;0,'Personalkosten 2. Jahr'!M23/12,0))</f>
        <v>0</v>
      </c>
      <c r="D44" s="54">
        <f>IF(Q44&gt;0,IF(Q44&lt;=Hilfstabelle!$D$35=AND(R44&gt;=Hilfstabelle!$D$35),'Personalkosten 2. Jahr'!M23/(R44-Q44+1),0),IF('Personalkosten 2. Jahr'!C23&gt;0,'Personalkosten 2. Jahr'!M23/12,0))</f>
        <v>0</v>
      </c>
      <c r="E44" s="54">
        <f>IF(Q44&gt;0,IF(Q44&lt;=Hilfstabelle!$E$35=AND(R44&gt;=Hilfstabelle!$E$35),'Personalkosten 2. Jahr'!M23/(R44-Q44+1),0),IF('Personalkosten 2. Jahr'!C23&gt;0,'Personalkosten 2. Jahr'!M23/12,0))</f>
        <v>0</v>
      </c>
      <c r="F44" s="54">
        <f>IF(Q44&gt;0,IF(Q44&lt;=Hilfstabelle!$F$35=AND(R44&gt;=Hilfstabelle!$F$35),'Personalkosten 2. Jahr'!M23/(R44-Q44+1),0),IF('Personalkosten 2. Jahr'!C23&gt;0,'Personalkosten 2. Jahr'!M23/12,0))</f>
        <v>0</v>
      </c>
      <c r="G44" s="54">
        <f>IF(Q44&gt;0,IF(Q44&lt;=Hilfstabelle!$G$35=AND(R44&gt;=Hilfstabelle!$G$35),'Personalkosten 2. Jahr'!M23/(R44-Q44+1),0),IF('Personalkosten 2. Jahr'!C23&gt;0,'Personalkosten 2. Jahr'!M23/12,0))</f>
        <v>0</v>
      </c>
      <c r="H44" s="54">
        <f>IF(Q44&gt;0,IF(Q44&lt;=Hilfstabelle!$H$35=AND(R44&gt;=Hilfstabelle!$H$35),'Personalkosten 2. Jahr'!M23/(R44-Q44+1),0),IF('Personalkosten 2. Jahr'!C23&gt;0,'Personalkosten 2. Jahr'!M23/12,0))</f>
        <v>0</v>
      </c>
      <c r="I44" s="54">
        <f>IF(Q44&gt;0,IF(Q44&lt;=Hilfstabelle!$I$35=AND(R44&gt;=Hilfstabelle!$I$35),'Personalkosten 2. Jahr'!M23/(R44-Q44+1),0),IF('Personalkosten 2. Jahr'!C23&gt;0,'Personalkosten 2. Jahr'!M23/12,0))</f>
        <v>0</v>
      </c>
      <c r="J44" s="54">
        <f>IF(Q44&gt;0,IF(Q44&lt;=Hilfstabelle!$J$35=AND(R44&gt;=Hilfstabelle!$J$35),'Personalkosten 2. Jahr'!M23/(R44-Q44+1),0),IF('Personalkosten 2. Jahr'!C23&gt;0,'Personalkosten 2. Jahr'!M23/12,0))</f>
        <v>0</v>
      </c>
      <c r="K44" s="54">
        <f>IF(Q44&gt;0,IF(Q44&lt;=Hilfstabelle!$K$35=AND(R44&gt;=Hilfstabelle!$K$35),'Personalkosten 2. Jahr'!M23/(R44-Q44+1),0),IF('Personalkosten 2. Jahr'!C23&gt;0,'Personalkosten 2. Jahr'!M23/12,0))</f>
        <v>0</v>
      </c>
      <c r="L44" s="54">
        <f>IF(Q44&gt;0,IF(Q44&lt;=Hilfstabelle!$L$35=AND(R44&gt;=Hilfstabelle!$L$35),'Personalkosten 2. Jahr'!M23/(R44-Q44+1),0),IF('Personalkosten 2. Jahr'!C23&gt;0,'Personalkosten 2. Jahr'!M23/12,0))</f>
        <v>0</v>
      </c>
      <c r="M44" s="54">
        <f>IF(Q44&gt;0,IF(Q44&lt;=Hilfstabelle!$M$35=AND(R44&gt;=Hilfstabelle!$M$35),'Personalkosten 2. Jahr'!M23/(R44-Q44+1),0),IF('Personalkosten 2. Jahr'!C23&gt;0,'Personalkosten 2. Jahr'!M23/12,0))</f>
        <v>0</v>
      </c>
      <c r="N44" s="55">
        <f t="shared" si="5"/>
        <v>0</v>
      </c>
      <c r="O44" s="34"/>
      <c r="Q44" s="26">
        <f>IF('Personalkosten 2. Jahr'!D23="",1,IF(EOMONTH('Personalkosten 2. Jahr'!D23,0)=EOMONTH($R$34,0),1,IF(EOMONTH('Personalkosten 2. Jahr'!D23,0)=EOMONTH($R$34,1),2,IF(EOMONTH('Personalkosten 2. Jahr'!D23,0)=EOMONTH($R$34,2),3,IF(EOMONTH('Personalkosten 2. Jahr'!D23,0)=EOMONTH($R$34,3),4,IF(EOMONTH('Personalkosten 2. Jahr'!D23,0)=EOMONTH($R$34,4),5,IF(EOMONTH('Personalkosten 2. Jahr'!D23,0)=EOMONTH($R$34,5),6,IF(EOMONTH('Personalkosten 2. Jahr'!D23,0)=EOMONTH($R$34,6),7,IF(EOMONTH('Personalkosten 2. Jahr'!D23,0)=EOMONTH($R$34,7),8,IF(EOMONTH('Personalkosten 2. Jahr'!D23,0)=EOMONTH($R$34,8),9,IF(EOMONTH('Personalkosten 2. Jahr'!D23,0)=EOMONTH($R$34,9),10,IF(EOMONTH('Personalkosten 2. Jahr'!D23,0)=EOMONTH($R$34,10),11,IF(EOMONTH('Personalkosten 2. Jahr'!D23,0)=EOMONTH($R$34,11),12,"")))))))))))))</f>
        <v>1</v>
      </c>
      <c r="R44" s="26">
        <f>IF('Personalkosten 2. Jahr'!E23="",12,IF(EOMONTH('Personalkosten 2. Jahr'!E23,0)=EOMONTH($R$34,0),1,IF(EOMONTH('Personalkosten 2. Jahr'!E23,0)=EOMONTH($R$34,1),2,IF(EOMONTH('Personalkosten 2. Jahr'!E23,0)=EOMONTH($R$34,2),3,IF(EOMONTH('Personalkosten 2. Jahr'!E23,0)=EOMONTH($R$34,3),4,IF(EOMONTH('Personalkosten 2. Jahr'!E23,0)=EOMONTH($R$34,4),5,IF(EOMONTH('Personalkosten 2. Jahr'!E23,0)=EOMONTH($R$34,5),6,IF(EOMONTH('Personalkosten 2. Jahr'!E23,0)=EOMONTH($R$34,6),7,IF(EOMONTH('Personalkosten 2. Jahr'!E23,0)=EOMONTH($R$34,7),8,IF(EOMONTH('Personalkosten 2. Jahr'!E23,0)=EOMONTH($R$34,8),9,IF(EOMONTH('Personalkosten 2. Jahr'!E23,0)=EOMONTH($R$34,9),10,IF(EOMONTH('Personalkosten 2. Jahr'!E23,0)=EOMONTH($R$34,10),11,IF(EOMONTH('Personalkosten 2. Jahr'!E23,0)=EOMONTH($R$34,11),12,"")))))))))))))</f>
        <v>12</v>
      </c>
    </row>
    <row r="45" spans="1:18">
      <c r="A45" s="32">
        <v>10</v>
      </c>
      <c r="B45" s="54">
        <f>IF(Q45&gt;0,IF(Q45&lt;=Hilfstabelle!$B$35=AND(R45&gt;=Hilfstabelle!$B$35),'Personalkosten 2. Jahr'!M24/(R45-Q45+1),0),IF('Personalkosten 2. Jahr'!C24&gt;0,'Personalkosten 2. Jahr'!M24/12,0))</f>
        <v>0</v>
      </c>
      <c r="C45" s="54">
        <f>IF(Q45&gt;0,IF(Q45&lt;=Hilfstabelle!$C$35=AND(R45&gt;=Hilfstabelle!$C$35),'Personalkosten 2. Jahr'!M24/(R45-Q45+1),0),IF('Personalkosten 2. Jahr'!C24&gt;0,'Personalkosten 2. Jahr'!M24/12,0))</f>
        <v>0</v>
      </c>
      <c r="D45" s="54">
        <f>IF(Q45&gt;0,IF(Q45&lt;=Hilfstabelle!$D$35=AND(R45&gt;=Hilfstabelle!$D$35),'Personalkosten 2. Jahr'!M24/(R45-Q45+1),0),IF('Personalkosten 2. Jahr'!C24&gt;0,'Personalkosten 2. Jahr'!M24/12,0))</f>
        <v>0</v>
      </c>
      <c r="E45" s="54">
        <f>IF(Q45&gt;0,IF(Q45&lt;=Hilfstabelle!$E$35=AND(R45&gt;=Hilfstabelle!$E$35),'Personalkosten 2. Jahr'!M24/(R45-Q45+1),0),IF('Personalkosten 2. Jahr'!C24&gt;0,'Personalkosten 2. Jahr'!M24/12,0))</f>
        <v>0</v>
      </c>
      <c r="F45" s="54">
        <f>IF(Q45&gt;0,IF(Q45&lt;=Hilfstabelle!$F$35=AND(R45&gt;=Hilfstabelle!$F$35),'Personalkosten 2. Jahr'!M24/(R45-Q45+1),0),IF('Personalkosten 2. Jahr'!C24&gt;0,'Personalkosten 2. Jahr'!M24/12,0))</f>
        <v>0</v>
      </c>
      <c r="G45" s="54">
        <f>IF(Q45&gt;0,IF(Q45&lt;=Hilfstabelle!$G$35=AND(R45&gt;=Hilfstabelle!$G$35),'Personalkosten 2. Jahr'!M24/(R45-Q45+1),0),IF('Personalkosten 2. Jahr'!C24&gt;0,'Personalkosten 2. Jahr'!M24/12,0))</f>
        <v>0</v>
      </c>
      <c r="H45" s="54">
        <f>IF(Q45&gt;0,IF(Q45&lt;=Hilfstabelle!$H$35=AND(R45&gt;=Hilfstabelle!$H$35),'Personalkosten 2. Jahr'!M24/(R45-Q45+1),0),IF('Personalkosten 2. Jahr'!C24&gt;0,'Personalkosten 2. Jahr'!M24/12,0))</f>
        <v>0</v>
      </c>
      <c r="I45" s="54">
        <f>IF(Q45&gt;0,IF(Q45&lt;=Hilfstabelle!$I$35=AND(R45&gt;=Hilfstabelle!$I$35),'Personalkosten 2. Jahr'!M24/(R45-Q45+1),0),IF('Personalkosten 2. Jahr'!C24&gt;0,'Personalkosten 2. Jahr'!M24/12,0))</f>
        <v>0</v>
      </c>
      <c r="J45" s="54">
        <f>IF(Q45&gt;0,IF(Q45&lt;=Hilfstabelle!$J$35=AND(R45&gt;=Hilfstabelle!$J$35),'Personalkosten 2. Jahr'!M24/(R45-Q45+1),0),IF('Personalkosten 2. Jahr'!C24&gt;0,'Personalkosten 2. Jahr'!M24/12,0))</f>
        <v>0</v>
      </c>
      <c r="K45" s="54">
        <f>IF(Q45&gt;0,IF(Q45&lt;=Hilfstabelle!$K$35=AND(R45&gt;=Hilfstabelle!$K$35),'Personalkosten 2. Jahr'!M24/(R45-Q45+1),0),IF('Personalkosten 2. Jahr'!C24&gt;0,'Personalkosten 2. Jahr'!M24/12,0))</f>
        <v>0</v>
      </c>
      <c r="L45" s="54">
        <f>IF(Q45&gt;0,IF(Q45&lt;=Hilfstabelle!$L$35=AND(R45&gt;=Hilfstabelle!$L$35),'Personalkosten 2. Jahr'!M24/(R45-Q45+1),0),IF('Personalkosten 2. Jahr'!C24&gt;0,'Personalkosten 2. Jahr'!M24/12,0))</f>
        <v>0</v>
      </c>
      <c r="M45" s="54">
        <f>IF(Q45&gt;0,IF(Q45&lt;=Hilfstabelle!$M$35=AND(R45&gt;=Hilfstabelle!$M$35),'Personalkosten 2. Jahr'!M24/(R45-Q45+1),0),IF('Personalkosten 2. Jahr'!C24&gt;0,'Personalkosten 2. Jahr'!M24/12,0))</f>
        <v>0</v>
      </c>
      <c r="N45" s="55">
        <f t="shared" si="5"/>
        <v>0</v>
      </c>
      <c r="O45" s="34"/>
      <c r="Q45" s="26">
        <f>IF('Personalkosten 2. Jahr'!D24="",1,IF(EOMONTH('Personalkosten 2. Jahr'!D24,0)=EOMONTH($R$34,0),1,IF(EOMONTH('Personalkosten 2. Jahr'!D24,0)=EOMONTH($R$34,1),2,IF(EOMONTH('Personalkosten 2. Jahr'!D24,0)=EOMONTH($R$34,2),3,IF(EOMONTH('Personalkosten 2. Jahr'!D24,0)=EOMONTH($R$34,3),4,IF(EOMONTH('Personalkosten 2. Jahr'!D24,0)=EOMONTH($R$34,4),5,IF(EOMONTH('Personalkosten 2. Jahr'!D24,0)=EOMONTH($R$34,5),6,IF(EOMONTH('Personalkosten 2. Jahr'!D24,0)=EOMONTH($R$34,6),7,IF(EOMONTH('Personalkosten 2. Jahr'!D24,0)=EOMONTH($R$34,7),8,IF(EOMONTH('Personalkosten 2. Jahr'!D24,0)=EOMONTH($R$34,8),9,IF(EOMONTH('Personalkosten 2. Jahr'!D24,0)=EOMONTH($R$34,9),10,IF(EOMONTH('Personalkosten 2. Jahr'!D24,0)=EOMONTH($R$34,10),11,IF(EOMONTH('Personalkosten 2. Jahr'!D24,0)=EOMONTH($R$34,11),12,"")))))))))))))</f>
        <v>1</v>
      </c>
      <c r="R45" s="26">
        <f>IF('Personalkosten 2. Jahr'!E24="",12,IF(EOMONTH('Personalkosten 2. Jahr'!E24,0)=EOMONTH($R$34,0),1,IF(EOMONTH('Personalkosten 2. Jahr'!E24,0)=EOMONTH($R$34,1),2,IF(EOMONTH('Personalkosten 2. Jahr'!E24,0)=EOMONTH($R$34,2),3,IF(EOMONTH('Personalkosten 2. Jahr'!E24,0)=EOMONTH($R$34,3),4,IF(EOMONTH('Personalkosten 2. Jahr'!E24,0)=EOMONTH($R$34,4),5,IF(EOMONTH('Personalkosten 2. Jahr'!E24,0)=EOMONTH($R$34,5),6,IF(EOMONTH('Personalkosten 2. Jahr'!E24,0)=EOMONTH($R$34,6),7,IF(EOMONTH('Personalkosten 2. Jahr'!E24,0)=EOMONTH($R$34,7),8,IF(EOMONTH('Personalkosten 2. Jahr'!E24,0)=EOMONTH($R$34,8),9,IF(EOMONTH('Personalkosten 2. Jahr'!E24,0)=EOMONTH($R$34,9),10,IF(EOMONTH('Personalkosten 2. Jahr'!E24,0)=EOMONTH($R$34,10),11,IF(EOMONTH('Personalkosten 2. Jahr'!E24,0)=EOMONTH($R$34,11),12,"")))))))))))))</f>
        <v>12</v>
      </c>
    </row>
    <row r="46" spans="1:18">
      <c r="A46" s="32">
        <v>11</v>
      </c>
      <c r="B46" s="54">
        <f>IF(Q46&gt;0,IF(Q46&lt;=Hilfstabelle!$B$35=AND(R46&gt;=Hilfstabelle!$B$35),'Personalkosten 2. Jahr'!M25/(R46-Q46+1),0),IF('Personalkosten 2. Jahr'!C25&gt;0,'Personalkosten 2. Jahr'!M25/12,0))</f>
        <v>0</v>
      </c>
      <c r="C46" s="54">
        <f>IF(Q46&gt;0,IF(Q46&lt;=Hilfstabelle!$C$35=AND(R46&gt;=Hilfstabelle!$C$35),'Personalkosten 2. Jahr'!M25/(R46-Q46+1),0),IF('Personalkosten 2. Jahr'!C25&gt;0,'Personalkosten 2. Jahr'!M25/12,0))</f>
        <v>0</v>
      </c>
      <c r="D46" s="54">
        <f>IF(Q46&gt;0,IF(Q46&lt;=Hilfstabelle!$D$35=AND(R46&gt;=Hilfstabelle!$D$35),'Personalkosten 2. Jahr'!M25/(R46-Q46+1),0),IF('Personalkosten 2. Jahr'!C25&gt;0,'Personalkosten 2. Jahr'!M25/12,0))</f>
        <v>0</v>
      </c>
      <c r="E46" s="54">
        <f>IF(Q46&gt;0,IF(Q46&lt;=Hilfstabelle!$E$35=AND(R46&gt;=Hilfstabelle!$E$35),'Personalkosten 2. Jahr'!M25/(R46-Q46+1),0),IF('Personalkosten 2. Jahr'!C25&gt;0,'Personalkosten 2. Jahr'!M25/12,0))</f>
        <v>0</v>
      </c>
      <c r="F46" s="54">
        <f>IF(Q46&gt;0,IF(Q46&lt;=Hilfstabelle!$F$35=AND(R46&gt;=Hilfstabelle!$F$35),'Personalkosten 2. Jahr'!M25/(R46-Q46+1),0),IF('Personalkosten 2. Jahr'!C25&gt;0,'Personalkosten 2. Jahr'!M25/12,0))</f>
        <v>0</v>
      </c>
      <c r="G46" s="54">
        <f>IF(Q46&gt;0,IF(Q46&lt;=Hilfstabelle!$G$35=AND(R46&gt;=Hilfstabelle!$G$35),'Personalkosten 2. Jahr'!M25/(R46-Q46+1),0),IF('Personalkosten 2. Jahr'!C25&gt;0,'Personalkosten 2. Jahr'!M25/12,0))</f>
        <v>0</v>
      </c>
      <c r="H46" s="54">
        <f>IF(Q46&gt;0,IF(Q46&lt;=Hilfstabelle!$H$35=AND(R46&gt;=Hilfstabelle!$H$35),'Personalkosten 2. Jahr'!M25/(R46-Q46+1),0),IF('Personalkosten 2. Jahr'!C25&gt;0,'Personalkosten 2. Jahr'!M25/12,0))</f>
        <v>0</v>
      </c>
      <c r="I46" s="54">
        <f>IF(Q46&gt;0,IF(Q46&lt;=Hilfstabelle!$I$35=AND(R46&gt;=Hilfstabelle!$I$35),'Personalkosten 2. Jahr'!M25/(R46-Q46+1),0),IF('Personalkosten 2. Jahr'!C25&gt;0,'Personalkosten 2. Jahr'!M25/12,0))</f>
        <v>0</v>
      </c>
      <c r="J46" s="54">
        <f>IF(Q46&gt;0,IF(Q46&lt;=Hilfstabelle!$J$35=AND(R46&gt;=Hilfstabelle!$J$35),'Personalkosten 2. Jahr'!M25/(R46-Q46+1),0),IF('Personalkosten 2. Jahr'!C25&gt;0,'Personalkosten 2. Jahr'!M25/12,0))</f>
        <v>0</v>
      </c>
      <c r="K46" s="54">
        <f>IF(Q46&gt;0,IF(Q46&lt;=Hilfstabelle!$K$35=AND(R46&gt;=Hilfstabelle!$K$35),'Personalkosten 2. Jahr'!M25/(R46-Q46+1),0),IF('Personalkosten 2. Jahr'!C25&gt;0,'Personalkosten 2. Jahr'!M25/12,0))</f>
        <v>0</v>
      </c>
      <c r="L46" s="54">
        <f>IF(Q46&gt;0,IF(Q46&lt;=Hilfstabelle!$L$35=AND(R46&gt;=Hilfstabelle!$L$35),'Personalkosten 2. Jahr'!M25/(R46-Q46+1),0),IF('Personalkosten 2. Jahr'!C25&gt;0,'Personalkosten 2. Jahr'!M25/12,0))</f>
        <v>0</v>
      </c>
      <c r="M46" s="54">
        <f>IF(Q46&gt;0,IF(Q46&lt;=Hilfstabelle!$M$35=AND(R46&gt;=Hilfstabelle!$M$35),'Personalkosten 2. Jahr'!M25/(R46-Q46+1),0),IF('Personalkosten 2. Jahr'!C25&gt;0,'Personalkosten 2. Jahr'!M25/12,0))</f>
        <v>0</v>
      </c>
      <c r="N46" s="55">
        <f t="shared" si="5"/>
        <v>0</v>
      </c>
      <c r="O46" s="34"/>
      <c r="Q46" s="26">
        <f>IF('Personalkosten 2. Jahr'!D25="",1,IF(EOMONTH('Personalkosten 2. Jahr'!D25,0)=EOMONTH($R$34,0),1,IF(EOMONTH('Personalkosten 2. Jahr'!D25,0)=EOMONTH($R$34,1),2,IF(EOMONTH('Personalkosten 2. Jahr'!D25,0)=EOMONTH($R$34,2),3,IF(EOMONTH('Personalkosten 2. Jahr'!D25,0)=EOMONTH($R$34,3),4,IF(EOMONTH('Personalkosten 2. Jahr'!D25,0)=EOMONTH($R$34,4),5,IF(EOMONTH('Personalkosten 2. Jahr'!D25,0)=EOMONTH($R$34,5),6,IF(EOMONTH('Personalkosten 2. Jahr'!D25,0)=EOMONTH($R$34,6),7,IF(EOMONTH('Personalkosten 2. Jahr'!D25,0)=EOMONTH($R$34,7),8,IF(EOMONTH('Personalkosten 2. Jahr'!D25,0)=EOMONTH($R$34,8),9,IF(EOMONTH('Personalkosten 2. Jahr'!D25,0)=EOMONTH($R$34,9),10,IF(EOMONTH('Personalkosten 2. Jahr'!D25,0)=EOMONTH($R$34,10),11,IF(EOMONTH('Personalkosten 2. Jahr'!D25,0)=EOMONTH($R$34,11),12,"")))))))))))))</f>
        <v>1</v>
      </c>
      <c r="R46" s="26">
        <f>IF('Personalkosten 2. Jahr'!E25="",12,IF(EOMONTH('Personalkosten 2. Jahr'!E25,0)=EOMONTH($R$34,0),1,IF(EOMONTH('Personalkosten 2. Jahr'!E25,0)=EOMONTH($R$34,1),2,IF(EOMONTH('Personalkosten 2. Jahr'!E25,0)=EOMONTH($R$34,2),3,IF(EOMONTH('Personalkosten 2. Jahr'!E25,0)=EOMONTH($R$34,3),4,IF(EOMONTH('Personalkosten 2. Jahr'!E25,0)=EOMONTH($R$34,4),5,IF(EOMONTH('Personalkosten 2. Jahr'!E25,0)=EOMONTH($R$34,5),6,IF(EOMONTH('Personalkosten 2. Jahr'!E25,0)=EOMONTH($R$34,6),7,IF(EOMONTH('Personalkosten 2. Jahr'!E25,0)=EOMONTH($R$34,7),8,IF(EOMONTH('Personalkosten 2. Jahr'!E25,0)=EOMONTH($R$34,8),9,IF(EOMONTH('Personalkosten 2. Jahr'!E25,0)=EOMONTH($R$34,9),10,IF(EOMONTH('Personalkosten 2. Jahr'!E25,0)=EOMONTH($R$34,10),11,IF(EOMONTH('Personalkosten 2. Jahr'!E25,0)=EOMONTH($R$34,11),12,"")))))))))))))</f>
        <v>12</v>
      </c>
    </row>
    <row r="47" spans="1:18">
      <c r="A47" s="32">
        <v>12</v>
      </c>
      <c r="B47" s="54">
        <f>IF(Q47&gt;0,IF(Q47&lt;=Hilfstabelle!$B$35=AND(R47&gt;=Hilfstabelle!$B$35),'Personalkosten 2. Jahr'!M26/(R47-Q47+1),0),IF('Personalkosten 2. Jahr'!C26&gt;0,'Personalkosten 2. Jahr'!M26/12,0))</f>
        <v>0</v>
      </c>
      <c r="C47" s="54">
        <f>IF(Q47&gt;0,IF(Q47&lt;=Hilfstabelle!$C$35=AND(R47&gt;=Hilfstabelle!$C$35),'Personalkosten 2. Jahr'!M26/(R47-Q47+1),0),IF('Personalkosten 2. Jahr'!C26&gt;0,'Personalkosten 2. Jahr'!M26/12,0))</f>
        <v>0</v>
      </c>
      <c r="D47" s="54">
        <f>IF(Q47&gt;0,IF(Q47&lt;=Hilfstabelle!$D$35=AND(R47&gt;=Hilfstabelle!$D$35),'Personalkosten 2. Jahr'!M26/(R47-Q47+1),0),IF('Personalkosten 2. Jahr'!C26&gt;0,'Personalkosten 2. Jahr'!M26/12,0))</f>
        <v>0</v>
      </c>
      <c r="E47" s="54">
        <f>IF(Q47&gt;0,IF(Q47&lt;=Hilfstabelle!$E$35=AND(R47&gt;=Hilfstabelle!$E$35),'Personalkosten 2. Jahr'!M26/(R47-Q47+1),0),IF('Personalkosten 2. Jahr'!C26&gt;0,'Personalkosten 2. Jahr'!M26/12,0))</f>
        <v>0</v>
      </c>
      <c r="F47" s="54">
        <f>IF(Q47&gt;0,IF(Q47&lt;=Hilfstabelle!$F$35=AND(R47&gt;=Hilfstabelle!$F$35),'Personalkosten 2. Jahr'!M26/(R47-Q47+1),0),IF('Personalkosten 2. Jahr'!C26&gt;0,'Personalkosten 2. Jahr'!M26/12,0))</f>
        <v>0</v>
      </c>
      <c r="G47" s="54">
        <f>IF(Q47&gt;0,IF(Q47&lt;=Hilfstabelle!$G$35=AND(R47&gt;=Hilfstabelle!$G$35),'Personalkosten 2. Jahr'!M26/(R47-Q47+1),0),IF('Personalkosten 2. Jahr'!C26&gt;0,'Personalkosten 2. Jahr'!M26/12,0))</f>
        <v>0</v>
      </c>
      <c r="H47" s="54">
        <f>IF(Q47&gt;0,IF(Q47&lt;=Hilfstabelle!$H$35=AND(R47&gt;=Hilfstabelle!$H$35),'Personalkosten 2. Jahr'!M26/(R47-Q47+1),0),IF('Personalkosten 2. Jahr'!C26&gt;0,'Personalkosten 2. Jahr'!M26/12,0))</f>
        <v>0</v>
      </c>
      <c r="I47" s="54">
        <f>IF(Q47&gt;0,IF(Q47&lt;=Hilfstabelle!$I$35=AND(R47&gt;=Hilfstabelle!$I$35),'Personalkosten 2. Jahr'!M26/(R47-Q47+1),0),IF('Personalkosten 2. Jahr'!C26&gt;0,'Personalkosten 2. Jahr'!M26/12,0))</f>
        <v>0</v>
      </c>
      <c r="J47" s="54">
        <f>IF(Q47&gt;0,IF(Q47&lt;=Hilfstabelle!$J$35=AND(R47&gt;=Hilfstabelle!$J$35),'Personalkosten 2. Jahr'!M26/(R47-Q47+1),0),IF('Personalkosten 2. Jahr'!C26&gt;0,'Personalkosten 2. Jahr'!M26/12,0))</f>
        <v>0</v>
      </c>
      <c r="K47" s="54">
        <f>IF(Q47&gt;0,IF(Q47&lt;=Hilfstabelle!$K$35=AND(R47&gt;=Hilfstabelle!$K$35),'Personalkosten 2. Jahr'!M26/(R47-Q47+1),0),IF('Personalkosten 2. Jahr'!C26&gt;0,'Personalkosten 2. Jahr'!M26/12,0))</f>
        <v>0</v>
      </c>
      <c r="L47" s="54">
        <f>IF(Q47&gt;0,IF(Q47&lt;=Hilfstabelle!$L$35=AND(R47&gt;=Hilfstabelle!$L$35),'Personalkosten 2. Jahr'!M26/(R47-Q47+1),0),IF('Personalkosten 2. Jahr'!C26&gt;0,'Personalkosten 2. Jahr'!M26/12,0))</f>
        <v>0</v>
      </c>
      <c r="M47" s="54">
        <f>IF(Q47&gt;0,IF(Q47&lt;=Hilfstabelle!$M$35=AND(R47&gt;=Hilfstabelle!$M$35),'Personalkosten 2. Jahr'!M26/(R47-Q47+1),0),IF('Personalkosten 2. Jahr'!C26&gt;0,'Personalkosten 2. Jahr'!M26/12,0))</f>
        <v>0</v>
      </c>
      <c r="N47" s="55">
        <f t="shared" si="5"/>
        <v>0</v>
      </c>
      <c r="O47" s="34"/>
      <c r="Q47" s="26">
        <f>IF('Personalkosten 2. Jahr'!D26="",1,IF(EOMONTH('Personalkosten 2. Jahr'!D26,0)=EOMONTH($R$34,0),1,IF(EOMONTH('Personalkosten 2. Jahr'!D26,0)=EOMONTH($R$34,1),2,IF(EOMONTH('Personalkosten 2. Jahr'!D26,0)=EOMONTH($R$34,2),3,IF(EOMONTH('Personalkosten 2. Jahr'!D26,0)=EOMONTH($R$34,3),4,IF(EOMONTH('Personalkosten 2. Jahr'!D26,0)=EOMONTH($R$34,4),5,IF(EOMONTH('Personalkosten 2. Jahr'!D26,0)=EOMONTH($R$34,5),6,IF(EOMONTH('Personalkosten 2. Jahr'!D26,0)=EOMONTH($R$34,6),7,IF(EOMONTH('Personalkosten 2. Jahr'!D26,0)=EOMONTH($R$34,7),8,IF(EOMONTH('Personalkosten 2. Jahr'!D26,0)=EOMONTH($R$34,8),9,IF(EOMONTH('Personalkosten 2. Jahr'!D26,0)=EOMONTH($R$34,9),10,IF(EOMONTH('Personalkosten 2. Jahr'!D26,0)=EOMONTH($R$34,10),11,IF(EOMONTH('Personalkosten 2. Jahr'!D26,0)=EOMONTH($R$34,11),12,"")))))))))))))</f>
        <v>1</v>
      </c>
      <c r="R47" s="26">
        <f>IF('Personalkosten 2. Jahr'!E26="",12,IF(EOMONTH('Personalkosten 2. Jahr'!E26,0)=EOMONTH($R$34,0),1,IF(EOMONTH('Personalkosten 2. Jahr'!E26,0)=EOMONTH($R$34,1),2,IF(EOMONTH('Personalkosten 2. Jahr'!E26,0)=EOMONTH($R$34,2),3,IF(EOMONTH('Personalkosten 2. Jahr'!E26,0)=EOMONTH($R$34,3),4,IF(EOMONTH('Personalkosten 2. Jahr'!E26,0)=EOMONTH($R$34,4),5,IF(EOMONTH('Personalkosten 2. Jahr'!E26,0)=EOMONTH($R$34,5),6,IF(EOMONTH('Personalkosten 2. Jahr'!E26,0)=EOMONTH($R$34,6),7,IF(EOMONTH('Personalkosten 2. Jahr'!E26,0)=EOMONTH($R$34,7),8,IF(EOMONTH('Personalkosten 2. Jahr'!E26,0)=EOMONTH($R$34,8),9,IF(EOMONTH('Personalkosten 2. Jahr'!E26,0)=EOMONTH($R$34,9),10,IF(EOMONTH('Personalkosten 2. Jahr'!E26,0)=EOMONTH($R$34,10),11,IF(EOMONTH('Personalkosten 2. Jahr'!E26,0)=EOMONTH($R$34,11),12,"")))))))))))))</f>
        <v>12</v>
      </c>
    </row>
    <row r="48" spans="1:18">
      <c r="A48" s="32">
        <v>13</v>
      </c>
      <c r="B48" s="54">
        <f>IF(Q48&gt;0,IF(Q48&lt;=Hilfstabelle!$B$35=AND(R48&gt;=Hilfstabelle!$B$35),'Personalkosten 2. Jahr'!M27/(R48-Q48+1),0),IF('Personalkosten 2. Jahr'!C27&gt;0,'Personalkosten 2. Jahr'!M27/12,0))</f>
        <v>0</v>
      </c>
      <c r="C48" s="54">
        <f>IF(Q48&gt;0,IF(Q48&lt;=Hilfstabelle!$C$35=AND(R48&gt;=Hilfstabelle!$C$35),'Personalkosten 2. Jahr'!M27/(R48-Q48+1),0),IF('Personalkosten 2. Jahr'!C27&gt;0,'Personalkosten 2. Jahr'!M27/12,0))</f>
        <v>0</v>
      </c>
      <c r="D48" s="54">
        <f>IF(Q48&gt;0,IF(Q48&lt;=Hilfstabelle!$D$35=AND(R48&gt;=Hilfstabelle!$D$35),'Personalkosten 2. Jahr'!M27/(R48-Q48+1),0),IF('Personalkosten 2. Jahr'!C27&gt;0,'Personalkosten 2. Jahr'!M27/12,0))</f>
        <v>0</v>
      </c>
      <c r="E48" s="54">
        <f>IF(Q48&gt;0,IF(Q48&lt;=Hilfstabelle!$E$35=AND(R48&gt;=Hilfstabelle!$E$35),'Personalkosten 2. Jahr'!M27/(R48-Q48+1),0),IF('Personalkosten 2. Jahr'!C27&gt;0,'Personalkosten 2. Jahr'!M27/12,0))</f>
        <v>0</v>
      </c>
      <c r="F48" s="54">
        <f>IF(Q48&gt;0,IF(Q48&lt;=Hilfstabelle!$F$35=AND(R48&gt;=Hilfstabelle!$F$35),'Personalkosten 2. Jahr'!M27/(R48-Q48+1),0),IF('Personalkosten 2. Jahr'!C27&gt;0,'Personalkosten 2. Jahr'!M27/12,0))</f>
        <v>0</v>
      </c>
      <c r="G48" s="54">
        <f>IF(Q48&gt;0,IF(Q48&lt;=Hilfstabelle!$G$35=AND(R48&gt;=Hilfstabelle!$G$35),'Personalkosten 2. Jahr'!M27/(R48-Q48+1),0),IF('Personalkosten 2. Jahr'!C27&gt;0,'Personalkosten 2. Jahr'!M27/12,0))</f>
        <v>0</v>
      </c>
      <c r="H48" s="54">
        <f>IF(Q48&gt;0,IF(Q48&lt;=Hilfstabelle!$H$35=AND(R48&gt;=Hilfstabelle!$H$35),'Personalkosten 2. Jahr'!M27/(R48-Q48+1),0),IF('Personalkosten 2. Jahr'!C27&gt;0,'Personalkosten 2. Jahr'!M27/12,0))</f>
        <v>0</v>
      </c>
      <c r="I48" s="54">
        <f>IF(Q48&gt;0,IF(Q48&lt;=Hilfstabelle!$I$35=AND(R48&gt;=Hilfstabelle!$I$35),'Personalkosten 2. Jahr'!M27/(R48-Q48+1),0),IF('Personalkosten 2. Jahr'!C27&gt;0,'Personalkosten 2. Jahr'!M27/12,0))</f>
        <v>0</v>
      </c>
      <c r="J48" s="54">
        <f>IF(Q48&gt;0,IF(Q48&lt;=Hilfstabelle!$J$35=AND(R48&gt;=Hilfstabelle!$J$35),'Personalkosten 2. Jahr'!M27/(R48-Q48+1),0),IF('Personalkosten 2. Jahr'!C27&gt;0,'Personalkosten 2. Jahr'!M27/12,0))</f>
        <v>0</v>
      </c>
      <c r="K48" s="54">
        <f>IF(Q48&gt;0,IF(Q48&lt;=Hilfstabelle!$K$35=AND(R48&gt;=Hilfstabelle!$K$35),'Personalkosten 2. Jahr'!M27/(R48-Q48+1),0),IF('Personalkosten 2. Jahr'!C27&gt;0,'Personalkosten 2. Jahr'!M27/12,0))</f>
        <v>0</v>
      </c>
      <c r="L48" s="54">
        <f>IF(Q48&gt;0,IF(Q48&lt;=Hilfstabelle!$L$35=AND(R48&gt;=Hilfstabelle!$L$35),'Personalkosten 2. Jahr'!M27/(R48-Q48+1),0),IF('Personalkosten 2. Jahr'!C27&gt;0,'Personalkosten 2. Jahr'!M27/12,0))</f>
        <v>0</v>
      </c>
      <c r="M48" s="54">
        <f>IF(Q48&gt;0,IF(Q48&lt;=Hilfstabelle!$M$35=AND(R48&gt;=Hilfstabelle!$M$35),'Personalkosten 2. Jahr'!M27/(R48-Q48+1),0),IF('Personalkosten 2. Jahr'!C27&gt;0,'Personalkosten 2. Jahr'!M27/12,0))</f>
        <v>0</v>
      </c>
      <c r="N48" s="55">
        <f t="shared" si="5"/>
        <v>0</v>
      </c>
      <c r="O48" s="34"/>
      <c r="Q48" s="26">
        <f>IF('Personalkosten 2. Jahr'!D27="",1,IF(EOMONTH('Personalkosten 2. Jahr'!D27,0)=EOMONTH($R$34,0),1,IF(EOMONTH('Personalkosten 2. Jahr'!D27,0)=EOMONTH($R$34,1),2,IF(EOMONTH('Personalkosten 2. Jahr'!D27,0)=EOMONTH($R$34,2),3,IF(EOMONTH('Personalkosten 2. Jahr'!D27,0)=EOMONTH($R$34,3),4,IF(EOMONTH('Personalkosten 2. Jahr'!D27,0)=EOMONTH($R$34,4),5,IF(EOMONTH('Personalkosten 2. Jahr'!D27,0)=EOMONTH($R$34,5),6,IF(EOMONTH('Personalkosten 2. Jahr'!D27,0)=EOMONTH($R$34,6),7,IF(EOMONTH('Personalkosten 2. Jahr'!D27,0)=EOMONTH($R$34,7),8,IF(EOMONTH('Personalkosten 2. Jahr'!D27,0)=EOMONTH($R$34,8),9,IF(EOMONTH('Personalkosten 2. Jahr'!D27,0)=EOMONTH($R$34,9),10,IF(EOMONTH('Personalkosten 2. Jahr'!D27,0)=EOMONTH($R$34,10),11,IF(EOMONTH('Personalkosten 2. Jahr'!D27,0)=EOMONTH($R$34,11),12,"")))))))))))))</f>
        <v>1</v>
      </c>
      <c r="R48" s="26">
        <f>IF('Personalkosten 2. Jahr'!E27="",12,IF(EOMONTH('Personalkosten 2. Jahr'!E27,0)=EOMONTH($R$34,0),1,IF(EOMONTH('Personalkosten 2. Jahr'!E27,0)=EOMONTH($R$34,1),2,IF(EOMONTH('Personalkosten 2. Jahr'!E27,0)=EOMONTH($R$34,2),3,IF(EOMONTH('Personalkosten 2. Jahr'!E27,0)=EOMONTH($R$34,3),4,IF(EOMONTH('Personalkosten 2. Jahr'!E27,0)=EOMONTH($R$34,4),5,IF(EOMONTH('Personalkosten 2. Jahr'!E27,0)=EOMONTH($R$34,5),6,IF(EOMONTH('Personalkosten 2. Jahr'!E27,0)=EOMONTH($R$34,6),7,IF(EOMONTH('Personalkosten 2. Jahr'!E27,0)=EOMONTH($R$34,7),8,IF(EOMONTH('Personalkosten 2. Jahr'!E27,0)=EOMONTH($R$34,8),9,IF(EOMONTH('Personalkosten 2. Jahr'!E27,0)=EOMONTH($R$34,9),10,IF(EOMONTH('Personalkosten 2. Jahr'!E27,0)=EOMONTH($R$34,10),11,IF(EOMONTH('Personalkosten 2. Jahr'!E27,0)=EOMONTH($R$34,11),12,"")))))))))))))</f>
        <v>12</v>
      </c>
    </row>
    <row r="49" spans="1:18">
      <c r="A49" s="32">
        <v>14</v>
      </c>
      <c r="B49" s="54">
        <f>IF(Q49&gt;0,IF(Q49&lt;=Hilfstabelle!$B$35=AND(R49&gt;=Hilfstabelle!$B$35),'Personalkosten 2. Jahr'!M28/(R49-Q49+1),0),IF('Personalkosten 2. Jahr'!C28&gt;0,'Personalkosten 2. Jahr'!M28/12,0))</f>
        <v>0</v>
      </c>
      <c r="C49" s="54">
        <f>IF(Q49&gt;0,IF(Q49&lt;=Hilfstabelle!$C$35=AND(R49&gt;=Hilfstabelle!$C$35),'Personalkosten 2. Jahr'!M28/(R49-Q49+1),0),IF('Personalkosten 2. Jahr'!C28&gt;0,'Personalkosten 2. Jahr'!M28/12,0))</f>
        <v>0</v>
      </c>
      <c r="D49" s="54">
        <f>IF(Q49&gt;0,IF(Q49&lt;=Hilfstabelle!$D$35=AND(R49&gt;=Hilfstabelle!$D$35),'Personalkosten 2. Jahr'!M28/(R49-Q49+1),0),IF('Personalkosten 2. Jahr'!C28&gt;0,'Personalkosten 2. Jahr'!M28/12,0))</f>
        <v>0</v>
      </c>
      <c r="E49" s="54">
        <f>IF(Q49&gt;0,IF(Q49&lt;=Hilfstabelle!$E$35=AND(R49&gt;=Hilfstabelle!$E$35),'Personalkosten 2. Jahr'!M28/(R49-Q49+1),0),IF('Personalkosten 2. Jahr'!C28&gt;0,'Personalkosten 2. Jahr'!M28/12,0))</f>
        <v>0</v>
      </c>
      <c r="F49" s="54">
        <f>IF(Q49&gt;0,IF(Q49&lt;=Hilfstabelle!$F$35=AND(R49&gt;=Hilfstabelle!$F$35),'Personalkosten 2. Jahr'!M28/(R49-Q49+1),0),IF('Personalkosten 2. Jahr'!C28&gt;0,'Personalkosten 2. Jahr'!M28/12,0))</f>
        <v>0</v>
      </c>
      <c r="G49" s="54">
        <f>IF(Q49&gt;0,IF(Q49&lt;=Hilfstabelle!$G$35=AND(R49&gt;=Hilfstabelle!$G$35),'Personalkosten 2. Jahr'!M28/(R49-Q49+1),0),IF('Personalkosten 2. Jahr'!C28&gt;0,'Personalkosten 2. Jahr'!M28/12,0))</f>
        <v>0</v>
      </c>
      <c r="H49" s="54">
        <f>IF(Q49&gt;0,IF(Q49&lt;=Hilfstabelle!$H$35=AND(R49&gt;=Hilfstabelle!$H$35),'Personalkosten 2. Jahr'!M28/(R49-Q49+1),0),IF('Personalkosten 2. Jahr'!C28&gt;0,'Personalkosten 2. Jahr'!M28/12,0))</f>
        <v>0</v>
      </c>
      <c r="I49" s="54">
        <f>IF(Q49&gt;0,IF(Q49&lt;=Hilfstabelle!$I$35=AND(R49&gt;=Hilfstabelle!$I$35),'Personalkosten 2. Jahr'!M28/(R49-Q49+1),0),IF('Personalkosten 2. Jahr'!C28&gt;0,'Personalkosten 2. Jahr'!M28/12,0))</f>
        <v>0</v>
      </c>
      <c r="J49" s="54">
        <f>IF(Q49&gt;0,IF(Q49&lt;=Hilfstabelle!$J$35=AND(R49&gt;=Hilfstabelle!$J$35),'Personalkosten 2. Jahr'!M28/(R49-Q49+1),0),IF('Personalkosten 2. Jahr'!C28&gt;0,'Personalkosten 2. Jahr'!M28/12,0))</f>
        <v>0</v>
      </c>
      <c r="K49" s="54">
        <f>IF(Q49&gt;0,IF(Q49&lt;=Hilfstabelle!$K$35=AND(R49&gt;=Hilfstabelle!$K$35),'Personalkosten 2. Jahr'!M28/(R49-Q49+1),0),IF('Personalkosten 2. Jahr'!C28&gt;0,'Personalkosten 2. Jahr'!M28/12,0))</f>
        <v>0</v>
      </c>
      <c r="L49" s="54">
        <f>IF(Q49&gt;0,IF(Q49&lt;=Hilfstabelle!$L$35=AND(R49&gt;=Hilfstabelle!$L$35),'Personalkosten 2. Jahr'!M28/(R49-Q49+1),0),IF('Personalkosten 2. Jahr'!C28&gt;0,'Personalkosten 2. Jahr'!M28/12,0))</f>
        <v>0</v>
      </c>
      <c r="M49" s="54">
        <f>IF(Q49&gt;0,IF(Q49&lt;=Hilfstabelle!$M$35=AND(R49&gt;=Hilfstabelle!$M$35),'Personalkosten 2. Jahr'!M28/(R49-Q49+1),0),IF('Personalkosten 2. Jahr'!C28&gt;0,'Personalkosten 2. Jahr'!M28/12,0))</f>
        <v>0</v>
      </c>
      <c r="N49" s="55">
        <f t="shared" si="5"/>
        <v>0</v>
      </c>
      <c r="O49" s="34"/>
      <c r="Q49" s="26">
        <f>IF('Personalkosten 2. Jahr'!D28="",1,IF(EOMONTH('Personalkosten 2. Jahr'!D28,0)=EOMONTH($R$34,0),1,IF(EOMONTH('Personalkosten 2. Jahr'!D28,0)=EOMONTH($R$34,1),2,IF(EOMONTH('Personalkosten 2. Jahr'!D28,0)=EOMONTH($R$34,2),3,IF(EOMONTH('Personalkosten 2. Jahr'!D28,0)=EOMONTH($R$34,3),4,IF(EOMONTH('Personalkosten 2. Jahr'!D28,0)=EOMONTH($R$34,4),5,IF(EOMONTH('Personalkosten 2. Jahr'!D28,0)=EOMONTH($R$34,5),6,IF(EOMONTH('Personalkosten 2. Jahr'!D28,0)=EOMONTH($R$34,6),7,IF(EOMONTH('Personalkosten 2. Jahr'!D28,0)=EOMONTH($R$34,7),8,IF(EOMONTH('Personalkosten 2. Jahr'!D28,0)=EOMONTH($R$34,8),9,IF(EOMONTH('Personalkosten 2. Jahr'!D28,0)=EOMONTH($R$34,9),10,IF(EOMONTH('Personalkosten 2. Jahr'!D28,0)=EOMONTH($R$34,10),11,IF(EOMONTH('Personalkosten 2. Jahr'!D28,0)=EOMONTH($R$34,11),12,"")))))))))))))</f>
        <v>1</v>
      </c>
      <c r="R49" s="26">
        <f>IF('Personalkosten 2. Jahr'!E28="",12,IF(EOMONTH('Personalkosten 2. Jahr'!E28,0)=EOMONTH($R$34,0),1,IF(EOMONTH('Personalkosten 2. Jahr'!E28,0)=EOMONTH($R$34,1),2,IF(EOMONTH('Personalkosten 2. Jahr'!E28,0)=EOMONTH($R$34,2),3,IF(EOMONTH('Personalkosten 2. Jahr'!E28,0)=EOMONTH($R$34,3),4,IF(EOMONTH('Personalkosten 2. Jahr'!E28,0)=EOMONTH($R$34,4),5,IF(EOMONTH('Personalkosten 2. Jahr'!E28,0)=EOMONTH($R$34,5),6,IF(EOMONTH('Personalkosten 2. Jahr'!E28,0)=EOMONTH($R$34,6),7,IF(EOMONTH('Personalkosten 2. Jahr'!E28,0)=EOMONTH($R$34,7),8,IF(EOMONTH('Personalkosten 2. Jahr'!E28,0)=EOMONTH($R$34,8),9,IF(EOMONTH('Personalkosten 2. Jahr'!E28,0)=EOMONTH($R$34,9),10,IF(EOMONTH('Personalkosten 2. Jahr'!E28,0)=EOMONTH($R$34,10),11,IF(EOMONTH('Personalkosten 2. Jahr'!E28,0)=EOMONTH($R$34,11),12,"")))))))))))))</f>
        <v>12</v>
      </c>
    </row>
    <row r="50" spans="1:18">
      <c r="A50" s="32">
        <v>15</v>
      </c>
      <c r="B50" s="54">
        <f>IF(Q50&gt;0,IF(Q50&lt;=Hilfstabelle!$B$35=AND(R50&gt;=Hilfstabelle!$B$35),'Personalkosten 2. Jahr'!M29/(R50-Q50+1),0),IF('Personalkosten 2. Jahr'!C29&gt;0,'Personalkosten 2. Jahr'!M29/12,0))</f>
        <v>0</v>
      </c>
      <c r="C50" s="54">
        <f>IF(Q50&gt;0,IF(Q50&lt;=Hilfstabelle!$C$35=AND(R50&gt;=Hilfstabelle!$C$35),'Personalkosten 2. Jahr'!M29/(R50-Q50+1),0),IF('Personalkosten 2. Jahr'!C29&gt;0,'Personalkosten 2. Jahr'!M29/12,0))</f>
        <v>0</v>
      </c>
      <c r="D50" s="54">
        <f>IF(Q50&gt;0,IF(Q50&lt;=Hilfstabelle!$D$35=AND(R50&gt;=Hilfstabelle!$D$35),'Personalkosten 2. Jahr'!M29/(R50-Q50+1),0),IF('Personalkosten 2. Jahr'!C29&gt;0,'Personalkosten 2. Jahr'!M29/12,0))</f>
        <v>0</v>
      </c>
      <c r="E50" s="54">
        <f>IF(Q50&gt;0,IF(Q50&lt;=Hilfstabelle!$E$35=AND(R50&gt;=Hilfstabelle!$E$35),'Personalkosten 2. Jahr'!M29/(R50-Q50+1),0),IF('Personalkosten 2. Jahr'!C29&gt;0,'Personalkosten 2. Jahr'!M29/12,0))</f>
        <v>0</v>
      </c>
      <c r="F50" s="54">
        <f>IF(Q50&gt;0,IF(Q50&lt;=Hilfstabelle!$F$35=AND(R50&gt;=Hilfstabelle!$F$35),'Personalkosten 2. Jahr'!M29/(R50-Q50+1),0),IF('Personalkosten 2. Jahr'!C29&gt;0,'Personalkosten 2. Jahr'!M29/12,0))</f>
        <v>0</v>
      </c>
      <c r="G50" s="54">
        <f>IF(Q50&gt;0,IF(Q50&lt;=Hilfstabelle!$G$35=AND(R50&gt;=Hilfstabelle!$G$35),'Personalkosten 2. Jahr'!M29/(R50-Q50+1),0),IF('Personalkosten 2. Jahr'!C29&gt;0,'Personalkosten 2. Jahr'!M29/12,0))</f>
        <v>0</v>
      </c>
      <c r="H50" s="54">
        <f>IF(Q50&gt;0,IF(Q50&lt;=Hilfstabelle!$H$35=AND(R50&gt;=Hilfstabelle!$H$35),'Personalkosten 2. Jahr'!M29/(R50-Q50+1),0),IF('Personalkosten 2. Jahr'!C29&gt;0,'Personalkosten 2. Jahr'!M29/12,0))</f>
        <v>0</v>
      </c>
      <c r="I50" s="54">
        <f>IF(Q50&gt;0,IF(Q50&lt;=Hilfstabelle!$I$35=AND(R50&gt;=Hilfstabelle!$I$35),'Personalkosten 2. Jahr'!M29/(R50-Q50+1),0),IF('Personalkosten 2. Jahr'!C29&gt;0,'Personalkosten 2. Jahr'!M29/12,0))</f>
        <v>0</v>
      </c>
      <c r="J50" s="54">
        <f>IF(Q50&gt;0,IF(Q50&lt;=Hilfstabelle!$J$35=AND(R50&gt;=Hilfstabelle!$J$35),'Personalkosten 2. Jahr'!M29/(R50-Q50+1),0),IF('Personalkosten 2. Jahr'!C29&gt;0,'Personalkosten 2. Jahr'!M29/12,0))</f>
        <v>0</v>
      </c>
      <c r="K50" s="54">
        <f>IF(Q50&gt;0,IF(Q50&lt;=Hilfstabelle!$K$35=AND(R50&gt;=Hilfstabelle!$K$35),'Personalkosten 2. Jahr'!M29/(R50-Q50+1),0),IF('Personalkosten 2. Jahr'!C29&gt;0,'Personalkosten 2. Jahr'!M29/12,0))</f>
        <v>0</v>
      </c>
      <c r="L50" s="54">
        <f>IF(Q50&gt;0,IF(Q50&lt;=Hilfstabelle!$L$35=AND(R50&gt;=Hilfstabelle!$L$35),'Personalkosten 2. Jahr'!M29/(R50-Q50+1),0),IF('Personalkosten 2. Jahr'!C29&gt;0,'Personalkosten 2. Jahr'!M29/12,0))</f>
        <v>0</v>
      </c>
      <c r="M50" s="54">
        <f>IF(Q50&gt;0,IF(Q50&lt;=Hilfstabelle!$M$35=AND(R50&gt;=Hilfstabelle!$M$35),'Personalkosten 2. Jahr'!M29/(R50-Q50+1),0),IF('Personalkosten 2. Jahr'!C29&gt;0,'Personalkosten 2. Jahr'!M29/12,0))</f>
        <v>0</v>
      </c>
      <c r="N50" s="55">
        <f t="shared" si="5"/>
        <v>0</v>
      </c>
      <c r="O50" s="34"/>
      <c r="Q50" s="26">
        <f>IF('Personalkosten 2. Jahr'!D29="",1,IF(EOMONTH('Personalkosten 2. Jahr'!D29,0)=EOMONTH($R$34,0),1,IF(EOMONTH('Personalkosten 2. Jahr'!D29,0)=EOMONTH($R$34,1),2,IF(EOMONTH('Personalkosten 2. Jahr'!D29,0)=EOMONTH($R$34,2),3,IF(EOMONTH('Personalkosten 2. Jahr'!D29,0)=EOMONTH($R$34,3),4,IF(EOMONTH('Personalkosten 2. Jahr'!D29,0)=EOMONTH($R$34,4),5,IF(EOMONTH('Personalkosten 2. Jahr'!D29,0)=EOMONTH($R$34,5),6,IF(EOMONTH('Personalkosten 2. Jahr'!D29,0)=EOMONTH($R$34,6),7,IF(EOMONTH('Personalkosten 2. Jahr'!D29,0)=EOMONTH($R$34,7),8,IF(EOMONTH('Personalkosten 2. Jahr'!D29,0)=EOMONTH($R$34,8),9,IF(EOMONTH('Personalkosten 2. Jahr'!D29,0)=EOMONTH($R$34,9),10,IF(EOMONTH('Personalkosten 2. Jahr'!D29,0)=EOMONTH($R$34,10),11,IF(EOMONTH('Personalkosten 2. Jahr'!D29,0)=EOMONTH($R$34,11),12,"")))))))))))))</f>
        <v>1</v>
      </c>
      <c r="R50" s="26">
        <f>IF('Personalkosten 2. Jahr'!E29="",12,IF(EOMONTH('Personalkosten 2. Jahr'!E29,0)=EOMONTH($R$34,0),1,IF(EOMONTH('Personalkosten 2. Jahr'!E29,0)=EOMONTH($R$34,1),2,IF(EOMONTH('Personalkosten 2. Jahr'!E29,0)=EOMONTH($R$34,2),3,IF(EOMONTH('Personalkosten 2. Jahr'!E29,0)=EOMONTH($R$34,3),4,IF(EOMONTH('Personalkosten 2. Jahr'!E29,0)=EOMONTH($R$34,4),5,IF(EOMONTH('Personalkosten 2. Jahr'!E29,0)=EOMONTH($R$34,5),6,IF(EOMONTH('Personalkosten 2. Jahr'!E29,0)=EOMONTH($R$34,6),7,IF(EOMONTH('Personalkosten 2. Jahr'!E29,0)=EOMONTH($R$34,7),8,IF(EOMONTH('Personalkosten 2. Jahr'!E29,0)=EOMONTH($R$34,8),9,IF(EOMONTH('Personalkosten 2. Jahr'!E29,0)=EOMONTH($R$34,9),10,IF(EOMONTH('Personalkosten 2. Jahr'!E29,0)=EOMONTH($R$34,10),11,IF(EOMONTH('Personalkosten 2. Jahr'!E29,0)=EOMONTH($R$34,11),12,"")))))))))))))</f>
        <v>12</v>
      </c>
    </row>
    <row r="51" spans="1:18">
      <c r="A51" s="32">
        <v>16</v>
      </c>
      <c r="B51" s="54">
        <f>IF(Q51&gt;0,IF(Q51&lt;=Hilfstabelle!$B$35=AND(R51&gt;=Hilfstabelle!$B$35),'Personalkosten 2. Jahr'!M30/(R51-Q51+1),0),IF('Personalkosten 2. Jahr'!C30&gt;0,'Personalkosten 2. Jahr'!M30/12,0))</f>
        <v>0</v>
      </c>
      <c r="C51" s="54">
        <f>IF(Q51&gt;0,IF(Q51&lt;=Hilfstabelle!$C$35=AND(R51&gt;=Hilfstabelle!$C$35),'Personalkosten 2. Jahr'!M30/(R51-Q51+1),0),IF('Personalkosten 2. Jahr'!C30&gt;0,'Personalkosten 2. Jahr'!M30/12,0))</f>
        <v>0</v>
      </c>
      <c r="D51" s="54">
        <f>IF(Q51&gt;0,IF(Q51&lt;=Hilfstabelle!$D$35=AND(R51&gt;=Hilfstabelle!$D$35),'Personalkosten 2. Jahr'!M30/(R51-Q51+1),0),IF('Personalkosten 2. Jahr'!C30&gt;0,'Personalkosten 2. Jahr'!M30/12,0))</f>
        <v>0</v>
      </c>
      <c r="E51" s="54">
        <f>IF(Q51&gt;0,IF(Q51&lt;=Hilfstabelle!$E$35=AND(R51&gt;=Hilfstabelle!$E$35),'Personalkosten 2. Jahr'!M30/(R51-Q51+1),0),IF('Personalkosten 2. Jahr'!C30&gt;0,'Personalkosten 2. Jahr'!M30/12,0))</f>
        <v>0</v>
      </c>
      <c r="F51" s="54">
        <f>IF(Q51&gt;0,IF(Q51&lt;=Hilfstabelle!$F$35=AND(R51&gt;=Hilfstabelle!$F$35),'Personalkosten 2. Jahr'!M30/(R51-Q51+1),0),IF('Personalkosten 2. Jahr'!C30&gt;0,'Personalkosten 2. Jahr'!M30/12,0))</f>
        <v>0</v>
      </c>
      <c r="G51" s="54">
        <f>IF(Q51&gt;0,IF(Q51&lt;=Hilfstabelle!$G$35=AND(R51&gt;=Hilfstabelle!$G$35),'Personalkosten 2. Jahr'!M30/(R51-Q51+1),0),IF('Personalkosten 2. Jahr'!C30&gt;0,'Personalkosten 2. Jahr'!M30/12,0))</f>
        <v>0</v>
      </c>
      <c r="H51" s="54">
        <f>IF(Q51&gt;0,IF(Q51&lt;=Hilfstabelle!$H$35=AND(R51&gt;=Hilfstabelle!$H$35),'Personalkosten 2. Jahr'!M30/(R51-Q51+1),0),IF('Personalkosten 2. Jahr'!C30&gt;0,'Personalkosten 2. Jahr'!M30/12,0))</f>
        <v>0</v>
      </c>
      <c r="I51" s="54">
        <f>IF(Q51&gt;0,IF(Q51&lt;=Hilfstabelle!$I$35=AND(R51&gt;=Hilfstabelle!$I$35),'Personalkosten 2. Jahr'!M30/(R51-Q51+1),0),IF('Personalkosten 2. Jahr'!C30&gt;0,'Personalkosten 2. Jahr'!M30/12,0))</f>
        <v>0</v>
      </c>
      <c r="J51" s="54">
        <f>IF(Q51&gt;0,IF(Q51&lt;=Hilfstabelle!$J$35=AND(R51&gt;=Hilfstabelle!$J$35),'Personalkosten 2. Jahr'!M30/(R51-Q51+1),0),IF('Personalkosten 2. Jahr'!C30&gt;0,'Personalkosten 2. Jahr'!M30/12,0))</f>
        <v>0</v>
      </c>
      <c r="K51" s="54">
        <f>IF(Q51&gt;0,IF(Q51&lt;=Hilfstabelle!$K$35=AND(R51&gt;=Hilfstabelle!$K$35),'Personalkosten 2. Jahr'!M30/(R51-Q51+1),0),IF('Personalkosten 2. Jahr'!C30&gt;0,'Personalkosten 2. Jahr'!M30/12,0))</f>
        <v>0</v>
      </c>
      <c r="L51" s="54">
        <f>IF(Q51&gt;0,IF(Q51&lt;=Hilfstabelle!$L$35=AND(R51&gt;=Hilfstabelle!$L$35),'Personalkosten 2. Jahr'!M30/(R51-Q51+1),0),IF('Personalkosten 2. Jahr'!C30&gt;0,'Personalkosten 2. Jahr'!M30/12,0))</f>
        <v>0</v>
      </c>
      <c r="M51" s="54">
        <f>IF(Q51&gt;0,IF(Q51&lt;=Hilfstabelle!$M$35=AND(R51&gt;=Hilfstabelle!$M$35),'Personalkosten 2. Jahr'!M30/(R51-Q51+1),0),IF('Personalkosten 2. Jahr'!C30&gt;0,'Personalkosten 2. Jahr'!M30/12,0))</f>
        <v>0</v>
      </c>
      <c r="N51" s="55">
        <f t="shared" si="5"/>
        <v>0</v>
      </c>
      <c r="O51" s="34"/>
      <c r="Q51" s="26">
        <f>IF('Personalkosten 2. Jahr'!D30="",1,IF(EOMONTH('Personalkosten 2. Jahr'!D30,0)=EOMONTH($R$34,0),1,IF(EOMONTH('Personalkosten 2. Jahr'!D30,0)=EOMONTH($R$34,1),2,IF(EOMONTH('Personalkosten 2. Jahr'!D30,0)=EOMONTH($R$34,2),3,IF(EOMONTH('Personalkosten 2. Jahr'!D30,0)=EOMONTH($R$34,3),4,IF(EOMONTH('Personalkosten 2. Jahr'!D30,0)=EOMONTH($R$34,4),5,IF(EOMONTH('Personalkosten 2. Jahr'!D30,0)=EOMONTH($R$34,5),6,IF(EOMONTH('Personalkosten 2. Jahr'!D30,0)=EOMONTH($R$34,6),7,IF(EOMONTH('Personalkosten 2. Jahr'!D30,0)=EOMONTH($R$34,7),8,IF(EOMONTH('Personalkosten 2. Jahr'!D30,0)=EOMONTH($R$34,8),9,IF(EOMONTH('Personalkosten 2. Jahr'!D30,0)=EOMONTH($R$34,9),10,IF(EOMONTH('Personalkosten 2. Jahr'!D30,0)=EOMONTH($R$34,10),11,IF(EOMONTH('Personalkosten 2. Jahr'!D30,0)=EOMONTH($R$34,11),12,"")))))))))))))</f>
        <v>1</v>
      </c>
      <c r="R51" s="26">
        <f>IF('Personalkosten 2. Jahr'!E30="",12,IF(EOMONTH('Personalkosten 2. Jahr'!E30,0)=EOMONTH($R$34,0),1,IF(EOMONTH('Personalkosten 2. Jahr'!E30,0)=EOMONTH($R$34,1),2,IF(EOMONTH('Personalkosten 2. Jahr'!E30,0)=EOMONTH($R$34,2),3,IF(EOMONTH('Personalkosten 2. Jahr'!E30,0)=EOMONTH($R$34,3),4,IF(EOMONTH('Personalkosten 2. Jahr'!E30,0)=EOMONTH($R$34,4),5,IF(EOMONTH('Personalkosten 2. Jahr'!E30,0)=EOMONTH($R$34,5),6,IF(EOMONTH('Personalkosten 2. Jahr'!E30,0)=EOMONTH($R$34,6),7,IF(EOMONTH('Personalkosten 2. Jahr'!E30,0)=EOMONTH($R$34,7),8,IF(EOMONTH('Personalkosten 2. Jahr'!E30,0)=EOMONTH($R$34,8),9,IF(EOMONTH('Personalkosten 2. Jahr'!E30,0)=EOMONTH($R$34,9),10,IF(EOMONTH('Personalkosten 2. Jahr'!E30,0)=EOMONTH($R$34,10),11,IF(EOMONTH('Personalkosten 2. Jahr'!E30,0)=EOMONTH($R$34,11),12,"")))))))))))))</f>
        <v>12</v>
      </c>
    </row>
    <row r="52" spans="1:18">
      <c r="A52" s="32">
        <v>17</v>
      </c>
      <c r="B52" s="54">
        <f>IF(Q52&gt;0,IF(Q52&lt;=Hilfstabelle!$B$35=AND(R52&gt;=Hilfstabelle!$B$35),'Personalkosten 2. Jahr'!M31/(R52-Q52+1),0),IF('Personalkosten 2. Jahr'!C31&gt;0,'Personalkosten 2. Jahr'!M31/12,0))</f>
        <v>0</v>
      </c>
      <c r="C52" s="54">
        <f>IF(Q52&gt;0,IF(Q52&lt;=Hilfstabelle!$C$35=AND(R52&gt;=Hilfstabelle!$C$35),'Personalkosten 2. Jahr'!M31/(R52-Q52+1),0),IF('Personalkosten 2. Jahr'!C31&gt;0,'Personalkosten 2. Jahr'!M31/12,0))</f>
        <v>0</v>
      </c>
      <c r="D52" s="54">
        <f>IF(Q52&gt;0,IF(Q52&lt;=Hilfstabelle!$D$35=AND(R52&gt;=Hilfstabelle!$D$35),'Personalkosten 2. Jahr'!M31/(R52-Q52+1),0),IF('Personalkosten 2. Jahr'!C31&gt;0,'Personalkosten 2. Jahr'!M31/12,0))</f>
        <v>0</v>
      </c>
      <c r="E52" s="54">
        <f>IF(Q52&gt;0,IF(Q52&lt;=Hilfstabelle!$E$35=AND(R52&gt;=Hilfstabelle!$E$35),'Personalkosten 2. Jahr'!M31/(R52-Q52+1),0),IF('Personalkosten 2. Jahr'!C31&gt;0,'Personalkosten 2. Jahr'!M31/12,0))</f>
        <v>0</v>
      </c>
      <c r="F52" s="54">
        <f>IF(Q52&gt;0,IF(Q52&lt;=Hilfstabelle!$F$35=AND(R52&gt;=Hilfstabelle!$F$35),'Personalkosten 2. Jahr'!M31/(R52-Q52+1),0),IF('Personalkosten 2. Jahr'!C31&gt;0,'Personalkosten 2. Jahr'!M31/12,0))</f>
        <v>0</v>
      </c>
      <c r="G52" s="54">
        <f>IF(Q52&gt;0,IF(Q52&lt;=Hilfstabelle!$G$35=AND(R52&gt;=Hilfstabelle!$G$35),'Personalkosten 2. Jahr'!M31/(R52-Q52+1),0),IF('Personalkosten 2. Jahr'!C31&gt;0,'Personalkosten 2. Jahr'!M31/12,0))</f>
        <v>0</v>
      </c>
      <c r="H52" s="54">
        <f>IF(Q52&gt;0,IF(Q52&lt;=Hilfstabelle!$H$35=AND(R52&gt;=Hilfstabelle!$H$35),'Personalkosten 2. Jahr'!M31/(R52-Q52+1),0),IF('Personalkosten 2. Jahr'!C31&gt;0,'Personalkosten 2. Jahr'!M31/12,0))</f>
        <v>0</v>
      </c>
      <c r="I52" s="54">
        <f>IF(Q52&gt;0,IF(Q52&lt;=Hilfstabelle!$I$35=AND(R52&gt;=Hilfstabelle!$I$35),'Personalkosten 2. Jahr'!M31/(R52-Q52+1),0),IF('Personalkosten 2. Jahr'!C31&gt;0,'Personalkosten 2. Jahr'!M31/12,0))</f>
        <v>0</v>
      </c>
      <c r="J52" s="54">
        <f>IF(Q52&gt;0,IF(Q52&lt;=Hilfstabelle!$J$35=AND(R52&gt;=Hilfstabelle!$J$35),'Personalkosten 2. Jahr'!M31/(R52-Q52+1),0),IF('Personalkosten 2. Jahr'!C31&gt;0,'Personalkosten 2. Jahr'!M31/12,0))</f>
        <v>0</v>
      </c>
      <c r="K52" s="54">
        <f>IF(Q52&gt;0,IF(Q52&lt;=Hilfstabelle!$K$35=AND(R52&gt;=Hilfstabelle!$K$35),'Personalkosten 2. Jahr'!M31/(R52-Q52+1),0),IF('Personalkosten 2. Jahr'!C31&gt;0,'Personalkosten 2. Jahr'!M31/12,0))</f>
        <v>0</v>
      </c>
      <c r="L52" s="54">
        <f>IF(Q52&gt;0,IF(Q52&lt;=Hilfstabelle!$L$35=AND(R52&gt;=Hilfstabelle!$L$35),'Personalkosten 2. Jahr'!M31/(R52-Q52+1),0),IF('Personalkosten 2. Jahr'!C31&gt;0,'Personalkosten 2. Jahr'!M31/12,0))</f>
        <v>0</v>
      </c>
      <c r="M52" s="54">
        <f>IF(Q52&gt;0,IF(Q52&lt;=Hilfstabelle!$M$35=AND(R52&gt;=Hilfstabelle!$M$35),'Personalkosten 2. Jahr'!M31/(R52-Q52+1),0),IF('Personalkosten 2. Jahr'!C31&gt;0,'Personalkosten 2. Jahr'!M31/12,0))</f>
        <v>0</v>
      </c>
      <c r="N52" s="55">
        <f t="shared" si="5"/>
        <v>0</v>
      </c>
      <c r="O52" s="34"/>
      <c r="Q52" s="26">
        <f>IF('Personalkosten 2. Jahr'!D31="",1,IF(EOMONTH('Personalkosten 2. Jahr'!D31,0)=EOMONTH($R$34,0),1,IF(EOMONTH('Personalkosten 2. Jahr'!D31,0)=EOMONTH($R$34,1),2,IF(EOMONTH('Personalkosten 2. Jahr'!D31,0)=EOMONTH($R$34,2),3,IF(EOMONTH('Personalkosten 2. Jahr'!D31,0)=EOMONTH($R$34,3),4,IF(EOMONTH('Personalkosten 2. Jahr'!D31,0)=EOMONTH($R$34,4),5,IF(EOMONTH('Personalkosten 2. Jahr'!D31,0)=EOMONTH($R$34,5),6,IF(EOMONTH('Personalkosten 2. Jahr'!D31,0)=EOMONTH($R$34,6),7,IF(EOMONTH('Personalkosten 2. Jahr'!D31,0)=EOMONTH($R$34,7),8,IF(EOMONTH('Personalkosten 2. Jahr'!D31,0)=EOMONTH($R$34,8),9,IF(EOMONTH('Personalkosten 2. Jahr'!D31,0)=EOMONTH($R$34,9),10,IF(EOMONTH('Personalkosten 2. Jahr'!D31,0)=EOMONTH($R$34,10),11,IF(EOMONTH('Personalkosten 2. Jahr'!D31,0)=EOMONTH($R$34,11),12,"")))))))))))))</f>
        <v>1</v>
      </c>
      <c r="R52" s="26">
        <f>IF('Personalkosten 2. Jahr'!E31="",12,IF(EOMONTH('Personalkosten 2. Jahr'!E31,0)=EOMONTH($R$34,0),1,IF(EOMONTH('Personalkosten 2. Jahr'!E31,0)=EOMONTH($R$34,1),2,IF(EOMONTH('Personalkosten 2. Jahr'!E31,0)=EOMONTH($R$34,2),3,IF(EOMONTH('Personalkosten 2. Jahr'!E31,0)=EOMONTH($R$34,3),4,IF(EOMONTH('Personalkosten 2. Jahr'!E31,0)=EOMONTH($R$34,4),5,IF(EOMONTH('Personalkosten 2. Jahr'!E31,0)=EOMONTH($R$34,5),6,IF(EOMONTH('Personalkosten 2. Jahr'!E31,0)=EOMONTH($R$34,6),7,IF(EOMONTH('Personalkosten 2. Jahr'!E31,0)=EOMONTH($R$34,7),8,IF(EOMONTH('Personalkosten 2. Jahr'!E31,0)=EOMONTH($R$34,8),9,IF(EOMONTH('Personalkosten 2. Jahr'!E31,0)=EOMONTH($R$34,9),10,IF(EOMONTH('Personalkosten 2. Jahr'!E31,0)=EOMONTH($R$34,10),11,IF(EOMONTH('Personalkosten 2. Jahr'!E31,0)=EOMONTH($R$34,11),12,"")))))))))))))</f>
        <v>12</v>
      </c>
    </row>
    <row r="53" spans="1:18">
      <c r="A53" s="32">
        <v>18</v>
      </c>
      <c r="B53" s="54">
        <f>IF(Q53&gt;0,IF(Q53&lt;=Hilfstabelle!$B$35=AND(R53&gt;=Hilfstabelle!$B$35),'Personalkosten 2. Jahr'!M32/(R53-Q53+1),0),IF('Personalkosten 2. Jahr'!C32&gt;0,'Personalkosten 2. Jahr'!M32/12,0))</f>
        <v>0</v>
      </c>
      <c r="C53" s="54">
        <f>IF(Q53&gt;0,IF(Q53&lt;=Hilfstabelle!$C$35=AND(R53&gt;=Hilfstabelle!$C$35),'Personalkosten 2. Jahr'!M32/(R53-Q53+1),0),IF('Personalkosten 2. Jahr'!C32&gt;0,'Personalkosten 2. Jahr'!M32/12,0))</f>
        <v>0</v>
      </c>
      <c r="D53" s="54">
        <f>IF(Q53&gt;0,IF(Q53&lt;=Hilfstabelle!$D$35=AND(R53&gt;=Hilfstabelle!$D$35),'Personalkosten 2. Jahr'!M32/(R53-Q53+1),0),IF('Personalkosten 2. Jahr'!C32&gt;0,'Personalkosten 2. Jahr'!M32/12,0))</f>
        <v>0</v>
      </c>
      <c r="E53" s="54">
        <f>IF(Q53&gt;0,IF(Q53&lt;=Hilfstabelle!$E$35=AND(R53&gt;=Hilfstabelle!$E$35),'Personalkosten 2. Jahr'!M32/(R53-Q53+1),0),IF('Personalkosten 2. Jahr'!C32&gt;0,'Personalkosten 2. Jahr'!M32/12,0))</f>
        <v>0</v>
      </c>
      <c r="F53" s="54">
        <f>IF(Q53&gt;0,IF(Q53&lt;=Hilfstabelle!$F$35=AND(R53&gt;=Hilfstabelle!$F$35),'Personalkosten 2. Jahr'!M32/(R53-Q53+1),0),IF('Personalkosten 2. Jahr'!C32&gt;0,'Personalkosten 2. Jahr'!M32/12,0))</f>
        <v>0</v>
      </c>
      <c r="G53" s="54">
        <f>IF(Q53&gt;0,IF(Q53&lt;=Hilfstabelle!$G$35=AND(R53&gt;=Hilfstabelle!$G$35),'Personalkosten 2. Jahr'!M32/(R53-Q53+1),0),IF('Personalkosten 2. Jahr'!C32&gt;0,'Personalkosten 2. Jahr'!M32/12,0))</f>
        <v>0</v>
      </c>
      <c r="H53" s="54">
        <f>IF(Q53&gt;0,IF(Q53&lt;=Hilfstabelle!$H$35=AND(R53&gt;=Hilfstabelle!$H$35),'Personalkosten 2. Jahr'!M32/(R53-Q53+1),0),IF('Personalkosten 2. Jahr'!C32&gt;0,'Personalkosten 2. Jahr'!M32/12,0))</f>
        <v>0</v>
      </c>
      <c r="I53" s="54">
        <f>IF(Q53&gt;0,IF(Q53&lt;=Hilfstabelle!$I$35=AND(R53&gt;=Hilfstabelle!$I$35),'Personalkosten 2. Jahr'!M32/(R53-Q53+1),0),IF('Personalkosten 2. Jahr'!C32&gt;0,'Personalkosten 2. Jahr'!M32/12,0))</f>
        <v>0</v>
      </c>
      <c r="J53" s="54">
        <f>IF(Q53&gt;0,IF(Q53&lt;=Hilfstabelle!$J$35=AND(R53&gt;=Hilfstabelle!$J$35),'Personalkosten 2. Jahr'!M32/(R53-Q53+1),0),IF('Personalkosten 2. Jahr'!C32&gt;0,'Personalkosten 2. Jahr'!M32/12,0))</f>
        <v>0</v>
      </c>
      <c r="K53" s="54">
        <f>IF(Q53&gt;0,IF(Q53&lt;=Hilfstabelle!$K$35=AND(R53&gt;=Hilfstabelle!$K$35),'Personalkosten 2. Jahr'!M32/(R53-Q53+1),0),IF('Personalkosten 2. Jahr'!C32&gt;0,'Personalkosten 2. Jahr'!M32/12,0))</f>
        <v>0</v>
      </c>
      <c r="L53" s="54">
        <f>IF(Q53&gt;0,IF(Q53&lt;=Hilfstabelle!$L$35=AND(R53&gt;=Hilfstabelle!$L$35),'Personalkosten 2. Jahr'!M32/(R53-Q53+1),0),IF('Personalkosten 2. Jahr'!C32&gt;0,'Personalkosten 2. Jahr'!M32/12,0))</f>
        <v>0</v>
      </c>
      <c r="M53" s="54">
        <f>IF(Q53&gt;0,IF(Q53&lt;=Hilfstabelle!$M$35=AND(R53&gt;=Hilfstabelle!$M$35),'Personalkosten 2. Jahr'!M32/(R53-Q53+1),0),IF('Personalkosten 2. Jahr'!C32&gt;0,'Personalkosten 2. Jahr'!M32/12,0))</f>
        <v>0</v>
      </c>
      <c r="N53" s="55">
        <f t="shared" si="5"/>
        <v>0</v>
      </c>
      <c r="O53" s="34"/>
      <c r="Q53" s="26">
        <f>IF('Personalkosten 2. Jahr'!D32="",1,IF(EOMONTH('Personalkosten 2. Jahr'!D32,0)=EOMONTH($R$34,0),1,IF(EOMONTH('Personalkosten 2. Jahr'!D32,0)=EOMONTH($R$34,1),2,IF(EOMONTH('Personalkosten 2. Jahr'!D32,0)=EOMONTH($R$34,2),3,IF(EOMONTH('Personalkosten 2. Jahr'!D32,0)=EOMONTH($R$34,3),4,IF(EOMONTH('Personalkosten 2. Jahr'!D32,0)=EOMONTH($R$34,4),5,IF(EOMONTH('Personalkosten 2. Jahr'!D32,0)=EOMONTH($R$34,5),6,IF(EOMONTH('Personalkosten 2. Jahr'!D32,0)=EOMONTH($R$34,6),7,IF(EOMONTH('Personalkosten 2. Jahr'!D32,0)=EOMONTH($R$34,7),8,IF(EOMONTH('Personalkosten 2. Jahr'!D32,0)=EOMONTH($R$34,8),9,IF(EOMONTH('Personalkosten 2. Jahr'!D32,0)=EOMONTH($R$34,9),10,IF(EOMONTH('Personalkosten 2. Jahr'!D32,0)=EOMONTH($R$34,10),11,IF(EOMONTH('Personalkosten 2. Jahr'!D32,0)=EOMONTH($R$34,11),12,"")))))))))))))</f>
        <v>1</v>
      </c>
      <c r="R53" s="26">
        <f>IF('Personalkosten 2. Jahr'!E32="",12,IF(EOMONTH('Personalkosten 2. Jahr'!E32,0)=EOMONTH($R$34,0),1,IF(EOMONTH('Personalkosten 2. Jahr'!E32,0)=EOMONTH($R$34,1),2,IF(EOMONTH('Personalkosten 2. Jahr'!E32,0)=EOMONTH($R$34,2),3,IF(EOMONTH('Personalkosten 2. Jahr'!E32,0)=EOMONTH($R$34,3),4,IF(EOMONTH('Personalkosten 2. Jahr'!E32,0)=EOMONTH($R$34,4),5,IF(EOMONTH('Personalkosten 2. Jahr'!E32,0)=EOMONTH($R$34,5),6,IF(EOMONTH('Personalkosten 2. Jahr'!E32,0)=EOMONTH($R$34,6),7,IF(EOMONTH('Personalkosten 2. Jahr'!E32,0)=EOMONTH($R$34,7),8,IF(EOMONTH('Personalkosten 2. Jahr'!E32,0)=EOMONTH($R$34,8),9,IF(EOMONTH('Personalkosten 2. Jahr'!E32,0)=EOMONTH($R$34,9),10,IF(EOMONTH('Personalkosten 2. Jahr'!E32,0)=EOMONTH($R$34,10),11,IF(EOMONTH('Personalkosten 2. Jahr'!E32,0)=EOMONTH($R$34,11),12,"")))))))))))))</f>
        <v>12</v>
      </c>
    </row>
    <row r="54" spans="1:18">
      <c r="A54" s="32">
        <v>19</v>
      </c>
      <c r="B54" s="54">
        <f>IF(Q54&gt;0,IF(Q54&lt;=Hilfstabelle!$B$35=AND(R54&gt;=Hilfstabelle!$B$35),'Personalkosten 2. Jahr'!M33/(R54-Q54+1),0),IF('Personalkosten 2. Jahr'!C33&gt;0,'Personalkosten 2. Jahr'!M33/12,0))</f>
        <v>0</v>
      </c>
      <c r="C54" s="54">
        <f>IF(Q54&gt;0,IF(Q54&lt;=Hilfstabelle!$C$35=AND(R54&gt;=Hilfstabelle!$C$35),'Personalkosten 2. Jahr'!M33/(R54-Q54+1),0),IF('Personalkosten 2. Jahr'!C33&gt;0,'Personalkosten 2. Jahr'!M33/12,0))</f>
        <v>0</v>
      </c>
      <c r="D54" s="54">
        <f>IF(Q54&gt;0,IF(Q54&lt;=Hilfstabelle!$D$35=AND(R54&gt;=Hilfstabelle!$D$35),'Personalkosten 2. Jahr'!M33/(R54-Q54+1),0),IF('Personalkosten 2. Jahr'!C33&gt;0,'Personalkosten 2. Jahr'!M33/12,0))</f>
        <v>0</v>
      </c>
      <c r="E54" s="54">
        <f>IF(Q54&gt;0,IF(Q54&lt;=Hilfstabelle!$E$35=AND(R54&gt;=Hilfstabelle!$E$35),'Personalkosten 2. Jahr'!M33/(R54-Q54+1),0),IF('Personalkosten 2. Jahr'!C33&gt;0,'Personalkosten 2. Jahr'!M33/12,0))</f>
        <v>0</v>
      </c>
      <c r="F54" s="54">
        <f>IF(Q54&gt;0,IF(Q54&lt;=Hilfstabelle!$F$35=AND(R54&gt;=Hilfstabelle!$F$35),'Personalkosten 2. Jahr'!M33/(R54-Q54+1),0),IF('Personalkosten 2. Jahr'!C33&gt;0,'Personalkosten 2. Jahr'!M33/12,0))</f>
        <v>0</v>
      </c>
      <c r="G54" s="54">
        <f>IF(Q54&gt;0,IF(Q54&lt;=Hilfstabelle!$G$35=AND(R54&gt;=Hilfstabelle!$G$35),'Personalkosten 2. Jahr'!M33/(R54-Q54+1),0),IF('Personalkosten 2. Jahr'!C33&gt;0,'Personalkosten 2. Jahr'!M33/12,0))</f>
        <v>0</v>
      </c>
      <c r="H54" s="54">
        <f>IF(Q54&gt;0,IF(Q54&lt;=Hilfstabelle!$H$35=AND(R54&gt;=Hilfstabelle!$H$35),'Personalkosten 2. Jahr'!M33/(R54-Q54+1),0),IF('Personalkosten 2. Jahr'!C33&gt;0,'Personalkosten 2. Jahr'!M33/12,0))</f>
        <v>0</v>
      </c>
      <c r="I54" s="54">
        <f>IF(Q54&gt;0,IF(Q54&lt;=Hilfstabelle!$I$35=AND(R54&gt;=Hilfstabelle!$I$35),'Personalkosten 2. Jahr'!M33/(R54-Q54+1),0),IF('Personalkosten 2. Jahr'!C33&gt;0,'Personalkosten 2. Jahr'!M33/12,0))</f>
        <v>0</v>
      </c>
      <c r="J54" s="54">
        <f>IF(Q54&gt;0,IF(Q54&lt;=Hilfstabelle!$J$35=AND(R54&gt;=Hilfstabelle!$J$35),'Personalkosten 2. Jahr'!M33/(R54-Q54+1),0),IF('Personalkosten 2. Jahr'!C33&gt;0,'Personalkosten 2. Jahr'!M33/12,0))</f>
        <v>0</v>
      </c>
      <c r="K54" s="54">
        <f>IF(Q54&gt;0,IF(Q54&lt;=Hilfstabelle!$K$35=AND(R54&gt;=Hilfstabelle!$K$35),'Personalkosten 2. Jahr'!M33/(R54-Q54+1),0),IF('Personalkosten 2. Jahr'!C33&gt;0,'Personalkosten 2. Jahr'!M33/12,0))</f>
        <v>0</v>
      </c>
      <c r="L54" s="54">
        <f>IF(Q54&gt;0,IF(Q54&lt;=Hilfstabelle!$L$35=AND(R54&gt;=Hilfstabelle!$L$35),'Personalkosten 2. Jahr'!M33/(R54-Q54+1),0),IF('Personalkosten 2. Jahr'!C33&gt;0,'Personalkosten 2. Jahr'!M33/12,0))</f>
        <v>0</v>
      </c>
      <c r="M54" s="54">
        <f>IF(Q54&gt;0,IF(Q54&lt;=Hilfstabelle!$M$35=AND(R54&gt;=Hilfstabelle!$M$35),'Personalkosten 2. Jahr'!M33/(R54-Q54+1),0),IF('Personalkosten 2. Jahr'!C33&gt;0,'Personalkosten 2. Jahr'!M33/12,0))</f>
        <v>0</v>
      </c>
      <c r="N54" s="55">
        <f t="shared" si="4"/>
        <v>0</v>
      </c>
      <c r="O54" s="34"/>
      <c r="Q54" s="26">
        <f>IF('Personalkosten 2. Jahr'!D33="",1,IF(EOMONTH('Personalkosten 2. Jahr'!D33,0)=EOMONTH($R$34,0),1,IF(EOMONTH('Personalkosten 2. Jahr'!D33,0)=EOMONTH($R$34,1),2,IF(EOMONTH('Personalkosten 2. Jahr'!D33,0)=EOMONTH($R$34,2),3,IF(EOMONTH('Personalkosten 2. Jahr'!D33,0)=EOMONTH($R$34,3),4,IF(EOMONTH('Personalkosten 2. Jahr'!D33,0)=EOMONTH($R$34,4),5,IF(EOMONTH('Personalkosten 2. Jahr'!D33,0)=EOMONTH($R$34,5),6,IF(EOMONTH('Personalkosten 2. Jahr'!D33,0)=EOMONTH($R$34,6),7,IF(EOMONTH('Personalkosten 2. Jahr'!D33,0)=EOMONTH($R$34,7),8,IF(EOMONTH('Personalkosten 2. Jahr'!D33,0)=EOMONTH($R$34,8),9,IF(EOMONTH('Personalkosten 2. Jahr'!D33,0)=EOMONTH($R$34,9),10,IF(EOMONTH('Personalkosten 2. Jahr'!D33,0)=EOMONTH($R$34,10),11,IF(EOMONTH('Personalkosten 2. Jahr'!D33,0)=EOMONTH($R$34,11),12,"")))))))))))))</f>
        <v>1</v>
      </c>
      <c r="R54" s="26">
        <f>IF('Personalkosten 2. Jahr'!E33="",12,IF(EOMONTH('Personalkosten 2. Jahr'!E33,0)=EOMONTH($R$34,0),1,IF(EOMONTH('Personalkosten 2. Jahr'!E33,0)=EOMONTH($R$34,1),2,IF(EOMONTH('Personalkosten 2. Jahr'!E33,0)=EOMONTH($R$34,2),3,IF(EOMONTH('Personalkosten 2. Jahr'!E33,0)=EOMONTH($R$34,3),4,IF(EOMONTH('Personalkosten 2. Jahr'!E33,0)=EOMONTH($R$34,4),5,IF(EOMONTH('Personalkosten 2. Jahr'!E33,0)=EOMONTH($R$34,5),6,IF(EOMONTH('Personalkosten 2. Jahr'!E33,0)=EOMONTH($R$34,6),7,IF(EOMONTH('Personalkosten 2. Jahr'!E33,0)=EOMONTH($R$34,7),8,IF(EOMONTH('Personalkosten 2. Jahr'!E33,0)=EOMONTH($R$34,8),9,IF(EOMONTH('Personalkosten 2. Jahr'!E33,0)=EOMONTH($R$34,9),10,IF(EOMONTH('Personalkosten 2. Jahr'!E33,0)=EOMONTH($R$34,10),11,IF(EOMONTH('Personalkosten 2. Jahr'!E33,0)=EOMONTH($R$34,11),12,"")))))))))))))</f>
        <v>12</v>
      </c>
    </row>
    <row r="55" spans="1:18">
      <c r="A55" s="32">
        <v>20</v>
      </c>
      <c r="B55" s="54">
        <f>IF(Q55&gt;0,IF(Q55&lt;=Hilfstabelle!$B$35=AND(R55&gt;=Hilfstabelle!$B$35),'Personalkosten 2. Jahr'!M34/(R55-Q55+1),0),IF('Personalkosten 2. Jahr'!C34&gt;0,'Personalkosten 2. Jahr'!M34/12,0))</f>
        <v>0</v>
      </c>
      <c r="C55" s="54">
        <f>IF(Q55&gt;0,IF(Q55&lt;=Hilfstabelle!$C$35=AND(R55&gt;=Hilfstabelle!$C$35),'Personalkosten 2. Jahr'!M34/(R55-Q55+1),0),IF('Personalkosten 2. Jahr'!C34&gt;0,'Personalkosten 2. Jahr'!M34/12,0))</f>
        <v>0</v>
      </c>
      <c r="D55" s="54">
        <f>IF(Q55&gt;0,IF(Q55&lt;=Hilfstabelle!$D$35=AND(R55&gt;=Hilfstabelle!$D$35),'Personalkosten 2. Jahr'!M34/(R55-Q55+1),0),IF('Personalkosten 2. Jahr'!C34&gt;0,'Personalkosten 2. Jahr'!M34/12,0))</f>
        <v>0</v>
      </c>
      <c r="E55" s="54">
        <f>IF(Q55&gt;0,IF(Q55&lt;=Hilfstabelle!$E$35=AND(R55&gt;=Hilfstabelle!$E$35),'Personalkosten 2. Jahr'!M34/(R55-Q55+1),0),IF('Personalkosten 2. Jahr'!C34&gt;0,'Personalkosten 2. Jahr'!M34/12,0))</f>
        <v>0</v>
      </c>
      <c r="F55" s="54">
        <f>IF(Q55&gt;0,IF(Q55&lt;=Hilfstabelle!$F$35=AND(R55&gt;=Hilfstabelle!$F$35),'Personalkosten 2. Jahr'!M34/(R55-Q55+1),0),IF('Personalkosten 2. Jahr'!C34&gt;0,'Personalkosten 2. Jahr'!M34/12,0))</f>
        <v>0</v>
      </c>
      <c r="G55" s="54">
        <f>IF(Q55&gt;0,IF(Q55&lt;=Hilfstabelle!$G$35=AND(R55&gt;=Hilfstabelle!$G$35),'Personalkosten 2. Jahr'!M34/(R55-Q55+1),0),IF('Personalkosten 2. Jahr'!C34&gt;0,'Personalkosten 2. Jahr'!M34/12,0))</f>
        <v>0</v>
      </c>
      <c r="H55" s="54">
        <f>IF(Q55&gt;0,IF(Q55&lt;=Hilfstabelle!$H$35=AND(R55&gt;=Hilfstabelle!$H$35),'Personalkosten 2. Jahr'!M34/(R55-Q55+1),0),IF('Personalkosten 2. Jahr'!C34&gt;0,'Personalkosten 2. Jahr'!M34/12,0))</f>
        <v>0</v>
      </c>
      <c r="I55" s="54">
        <f>IF(Q55&gt;0,IF(Q55&lt;=Hilfstabelle!$I$35=AND(R55&gt;=Hilfstabelle!$I$35),'Personalkosten 2. Jahr'!M34/(R55-Q55+1),0),IF('Personalkosten 2. Jahr'!C34&gt;0,'Personalkosten 2. Jahr'!M34/12,0))</f>
        <v>0</v>
      </c>
      <c r="J55" s="54">
        <f>IF(Q55&gt;0,IF(Q55&lt;=Hilfstabelle!$J$35=AND(R55&gt;=Hilfstabelle!$J$35),'Personalkosten 2. Jahr'!M34/(R55-Q55+1),0),IF('Personalkosten 2. Jahr'!C34&gt;0,'Personalkosten 2. Jahr'!M34/12,0))</f>
        <v>0</v>
      </c>
      <c r="K55" s="54">
        <f>IF(Q55&gt;0,IF(Q55&lt;=Hilfstabelle!$K$35=AND(R55&gt;=Hilfstabelle!$K$35),'Personalkosten 2. Jahr'!M34/(R55-Q55+1),0),IF('Personalkosten 2. Jahr'!C34&gt;0,'Personalkosten 2. Jahr'!M34/12,0))</f>
        <v>0</v>
      </c>
      <c r="L55" s="54">
        <f>IF(Q55&gt;0,IF(Q55&lt;=Hilfstabelle!$L$35=AND(R55&gt;=Hilfstabelle!$L$35),'Personalkosten 2. Jahr'!M34/(R55-Q55+1),0),IF('Personalkosten 2. Jahr'!C34&gt;0,'Personalkosten 2. Jahr'!M34/12,0))</f>
        <v>0</v>
      </c>
      <c r="M55" s="54">
        <f>IF(Q55&gt;0,IF(Q55&lt;=Hilfstabelle!$M$35=AND(R55&gt;=Hilfstabelle!$M$35),'Personalkosten 2. Jahr'!M34/(R55-Q55+1),0),IF('Personalkosten 2. Jahr'!C34&gt;0,'Personalkosten 2. Jahr'!M34/12,0))</f>
        <v>0</v>
      </c>
      <c r="N55" s="55">
        <f t="shared" si="4"/>
        <v>0</v>
      </c>
      <c r="O55" s="34"/>
      <c r="Q55" s="26">
        <f>IF('Personalkosten 2. Jahr'!D34="",1,IF(EOMONTH('Personalkosten 2. Jahr'!D34,0)=EOMONTH($R$34,0),1,IF(EOMONTH('Personalkosten 2. Jahr'!D34,0)=EOMONTH($R$34,1),2,IF(EOMONTH('Personalkosten 2. Jahr'!D34,0)=EOMONTH($R$34,2),3,IF(EOMONTH('Personalkosten 2. Jahr'!D34,0)=EOMONTH($R$34,3),4,IF(EOMONTH('Personalkosten 2. Jahr'!D34,0)=EOMONTH($R$34,4),5,IF(EOMONTH('Personalkosten 2. Jahr'!D34,0)=EOMONTH($R$34,5),6,IF(EOMONTH('Personalkosten 2. Jahr'!D34,0)=EOMONTH($R$34,6),7,IF(EOMONTH('Personalkosten 2. Jahr'!D34,0)=EOMONTH($R$34,7),8,IF(EOMONTH('Personalkosten 2. Jahr'!D34,0)=EOMONTH($R$34,8),9,IF(EOMONTH('Personalkosten 2. Jahr'!D34,0)=EOMONTH($R$34,9),10,IF(EOMONTH('Personalkosten 2. Jahr'!D34,0)=EOMONTH($R$34,10),11,IF(EOMONTH('Personalkosten 2. Jahr'!D34,0)=EOMONTH($R$34,11),12,"")))))))))))))</f>
        <v>1</v>
      </c>
      <c r="R55" s="26">
        <f>IF('Personalkosten 2. Jahr'!E34="",12,IF(EOMONTH('Personalkosten 2. Jahr'!E34,0)=EOMONTH($R$34,0),1,IF(EOMONTH('Personalkosten 2. Jahr'!E34,0)=EOMONTH($R$34,1),2,IF(EOMONTH('Personalkosten 2. Jahr'!E34,0)=EOMONTH($R$34,2),3,IF(EOMONTH('Personalkosten 2. Jahr'!E34,0)=EOMONTH($R$34,3),4,IF(EOMONTH('Personalkosten 2. Jahr'!E34,0)=EOMONTH($R$34,4),5,IF(EOMONTH('Personalkosten 2. Jahr'!E34,0)=EOMONTH($R$34,5),6,IF(EOMONTH('Personalkosten 2. Jahr'!E34,0)=EOMONTH($R$34,6),7,IF(EOMONTH('Personalkosten 2. Jahr'!E34,0)=EOMONTH($R$34,7),8,IF(EOMONTH('Personalkosten 2. Jahr'!E34,0)=EOMONTH($R$34,8),9,IF(EOMONTH('Personalkosten 2. Jahr'!E34,0)=EOMONTH($R$34,9),10,IF(EOMONTH('Personalkosten 2. Jahr'!E34,0)=EOMONTH($R$34,10),11,IF(EOMONTH('Personalkosten 2. Jahr'!E34,0)=EOMONTH($R$34,11),12,"")))))))))))))</f>
        <v>12</v>
      </c>
    </row>
    <row r="56" spans="1:18">
      <c r="A56" s="32">
        <v>21</v>
      </c>
      <c r="B56" s="54">
        <f>IF(Q56&gt;0,IF(Q56&lt;=Hilfstabelle!$B$35=AND(R56&gt;=Hilfstabelle!$B$35),'Personalkosten 2. Jahr'!M35/(R56-Q56+1),0),IF('Personalkosten 2. Jahr'!C35&gt;0,'Personalkosten 2. Jahr'!M35/12,0))</f>
        <v>0</v>
      </c>
      <c r="C56" s="54">
        <f>IF(Q56&gt;0,IF(Q56&lt;=Hilfstabelle!$C$35=AND(R56&gt;=Hilfstabelle!$C$35),'Personalkosten 2. Jahr'!M35/(R56-Q56+1),0),IF('Personalkosten 2. Jahr'!C35&gt;0,'Personalkosten 2. Jahr'!M35/12,0))</f>
        <v>0</v>
      </c>
      <c r="D56" s="54">
        <f>IF(Q56&gt;0,IF(Q56&lt;=Hilfstabelle!$D$35=AND(R56&gt;=Hilfstabelle!$D$35),'Personalkosten 2. Jahr'!M35/(R56-Q56+1),0),IF('Personalkosten 2. Jahr'!C35&gt;0,'Personalkosten 2. Jahr'!M35/12,0))</f>
        <v>0</v>
      </c>
      <c r="E56" s="54">
        <f>IF(Q56&gt;0,IF(Q56&lt;=Hilfstabelle!$E$35=AND(R56&gt;=Hilfstabelle!$E$35),'Personalkosten 2. Jahr'!M35/(R56-Q56+1),0),IF('Personalkosten 2. Jahr'!C35&gt;0,'Personalkosten 2. Jahr'!M35/12,0))</f>
        <v>0</v>
      </c>
      <c r="F56" s="54">
        <f>IF(Q56&gt;0,IF(Q56&lt;=Hilfstabelle!$F$35=AND(R56&gt;=Hilfstabelle!$F$35),'Personalkosten 2. Jahr'!M35/(R56-Q56+1),0),IF('Personalkosten 2. Jahr'!C35&gt;0,'Personalkosten 2. Jahr'!M35/12,0))</f>
        <v>0</v>
      </c>
      <c r="G56" s="54">
        <f>IF(Q56&gt;0,IF(Q56&lt;=Hilfstabelle!$G$35=AND(R56&gt;=Hilfstabelle!$G$35),'Personalkosten 2. Jahr'!M35/(R56-Q56+1),0),IF('Personalkosten 2. Jahr'!C35&gt;0,'Personalkosten 2. Jahr'!M35/12,0))</f>
        <v>0</v>
      </c>
      <c r="H56" s="54">
        <f>IF(Q56&gt;0,IF(Q56&lt;=Hilfstabelle!$H$35=AND(R56&gt;=Hilfstabelle!$H$35),'Personalkosten 2. Jahr'!M35/(R56-Q56+1),0),IF('Personalkosten 2. Jahr'!C35&gt;0,'Personalkosten 2. Jahr'!M35/12,0))</f>
        <v>0</v>
      </c>
      <c r="I56" s="54">
        <f>IF(Q56&gt;0,IF(Q56&lt;=Hilfstabelle!$I$35=AND(R56&gt;=Hilfstabelle!$I$35),'Personalkosten 2. Jahr'!M35/(R56-Q56+1),0),IF('Personalkosten 2. Jahr'!C35&gt;0,'Personalkosten 2. Jahr'!M35/12,0))</f>
        <v>0</v>
      </c>
      <c r="J56" s="54">
        <f>IF(Q56&gt;0,IF(Q56&lt;=Hilfstabelle!$J$35=AND(R56&gt;=Hilfstabelle!$J$35),'Personalkosten 2. Jahr'!M35/(R56-Q56+1),0),IF('Personalkosten 2. Jahr'!C35&gt;0,'Personalkosten 2. Jahr'!M35/12,0))</f>
        <v>0</v>
      </c>
      <c r="K56" s="54">
        <f>IF(Q56&gt;0,IF(Q56&lt;=Hilfstabelle!$K$35=AND(R56&gt;=Hilfstabelle!$K$35),'Personalkosten 2. Jahr'!M35/(R56-Q56+1),0),IF('Personalkosten 2. Jahr'!C35&gt;0,'Personalkosten 2. Jahr'!M35/12,0))</f>
        <v>0</v>
      </c>
      <c r="L56" s="54">
        <f>IF(Q56&gt;0,IF(Q56&lt;=Hilfstabelle!$L$35=AND(R56&gt;=Hilfstabelle!$L$35),'Personalkosten 2. Jahr'!M35/(R56-Q56+1),0),IF('Personalkosten 2. Jahr'!C35&gt;0,'Personalkosten 2. Jahr'!M35/12,0))</f>
        <v>0</v>
      </c>
      <c r="M56" s="54">
        <f>IF(Q56&gt;0,IF(Q56&lt;=Hilfstabelle!$M$35=AND(R56&gt;=Hilfstabelle!$M$35),'Personalkosten 2. Jahr'!M35/(R56-Q56+1),0),IF('Personalkosten 2. Jahr'!C35&gt;0,'Personalkosten 2. Jahr'!M35/12,0))</f>
        <v>0</v>
      </c>
      <c r="N56" s="55">
        <f t="shared" si="4"/>
        <v>0</v>
      </c>
      <c r="O56" s="34"/>
      <c r="Q56" s="26">
        <f>IF('Personalkosten 2. Jahr'!D35="",1,IF(EOMONTH('Personalkosten 2. Jahr'!D35,0)=EOMONTH($R$34,0),1,IF(EOMONTH('Personalkosten 2. Jahr'!D35,0)=EOMONTH($R$34,1),2,IF(EOMONTH('Personalkosten 2. Jahr'!D35,0)=EOMONTH($R$34,2),3,IF(EOMONTH('Personalkosten 2. Jahr'!D35,0)=EOMONTH($R$34,3),4,IF(EOMONTH('Personalkosten 2. Jahr'!D35,0)=EOMONTH($R$34,4),5,IF(EOMONTH('Personalkosten 2. Jahr'!D35,0)=EOMONTH($R$34,5),6,IF(EOMONTH('Personalkosten 2. Jahr'!D35,0)=EOMONTH($R$34,6),7,IF(EOMONTH('Personalkosten 2. Jahr'!D35,0)=EOMONTH($R$34,7),8,IF(EOMONTH('Personalkosten 2. Jahr'!D35,0)=EOMONTH($R$34,8),9,IF(EOMONTH('Personalkosten 2. Jahr'!D35,0)=EOMONTH($R$34,9),10,IF(EOMONTH('Personalkosten 2. Jahr'!D35,0)=EOMONTH($R$34,10),11,IF(EOMONTH('Personalkosten 2. Jahr'!D35,0)=EOMONTH($R$34,11),12,"")))))))))))))</f>
        <v>1</v>
      </c>
      <c r="R56" s="26">
        <f>IF('Personalkosten 2. Jahr'!E35="",12,IF(EOMONTH('Personalkosten 2. Jahr'!E35,0)=EOMONTH($R$34,0),1,IF(EOMONTH('Personalkosten 2. Jahr'!E35,0)=EOMONTH($R$34,1),2,IF(EOMONTH('Personalkosten 2. Jahr'!E35,0)=EOMONTH($R$34,2),3,IF(EOMONTH('Personalkosten 2. Jahr'!E35,0)=EOMONTH($R$34,3),4,IF(EOMONTH('Personalkosten 2. Jahr'!E35,0)=EOMONTH($R$34,4),5,IF(EOMONTH('Personalkosten 2. Jahr'!E35,0)=EOMONTH($R$34,5),6,IF(EOMONTH('Personalkosten 2. Jahr'!E35,0)=EOMONTH($R$34,6),7,IF(EOMONTH('Personalkosten 2. Jahr'!E35,0)=EOMONTH($R$34,7),8,IF(EOMONTH('Personalkosten 2. Jahr'!E35,0)=EOMONTH($R$34,8),9,IF(EOMONTH('Personalkosten 2. Jahr'!E35,0)=EOMONTH($R$34,9),10,IF(EOMONTH('Personalkosten 2. Jahr'!E35,0)=EOMONTH($R$34,10),11,IF(EOMONTH('Personalkosten 2. Jahr'!E35,0)=EOMONTH($R$34,11),12,"")))))))))))))</f>
        <v>12</v>
      </c>
    </row>
    <row r="57" spans="1:18">
      <c r="A57" s="32">
        <v>22</v>
      </c>
      <c r="B57" s="54">
        <f>IF(Q57&gt;0,IF(Q57&lt;=Hilfstabelle!$B$35=AND(R57&gt;=Hilfstabelle!$B$35),'Personalkosten 2. Jahr'!M36/(R57-Q57+1),0),IF('Personalkosten 2. Jahr'!C36&gt;0,'Personalkosten 2. Jahr'!M36/12,0))</f>
        <v>0</v>
      </c>
      <c r="C57" s="54">
        <f>IF(Q57&gt;0,IF(Q57&lt;=Hilfstabelle!$C$35=AND(R57&gt;=Hilfstabelle!$C$35),'Personalkosten 2. Jahr'!M36/(R57-Q57+1),0),IF('Personalkosten 2. Jahr'!C36&gt;0,'Personalkosten 2. Jahr'!M36/12,0))</f>
        <v>0</v>
      </c>
      <c r="D57" s="54">
        <f>IF(Q57&gt;0,IF(Q57&lt;=Hilfstabelle!$D$35=AND(R57&gt;=Hilfstabelle!$D$35),'Personalkosten 2. Jahr'!M36/(R57-Q57+1),0),IF('Personalkosten 2. Jahr'!C36&gt;0,'Personalkosten 2. Jahr'!M36/12,0))</f>
        <v>0</v>
      </c>
      <c r="E57" s="54">
        <f>IF(Q57&gt;0,IF(Q57&lt;=Hilfstabelle!$E$35=AND(R57&gt;=Hilfstabelle!$E$35),'Personalkosten 2. Jahr'!M36/(R57-Q57+1),0),IF('Personalkosten 2. Jahr'!C36&gt;0,'Personalkosten 2. Jahr'!M36/12,0))</f>
        <v>0</v>
      </c>
      <c r="F57" s="54">
        <f>IF(Q57&gt;0,IF(Q57&lt;=Hilfstabelle!$F$35=AND(R57&gt;=Hilfstabelle!$F$35),'Personalkosten 2. Jahr'!M36/(R57-Q57+1),0),IF('Personalkosten 2. Jahr'!C36&gt;0,'Personalkosten 2. Jahr'!M36/12,0))</f>
        <v>0</v>
      </c>
      <c r="G57" s="54">
        <f>IF(Q57&gt;0,IF(Q57&lt;=Hilfstabelle!$G$35=AND(R57&gt;=Hilfstabelle!$G$35),'Personalkosten 2. Jahr'!M36/(R57-Q57+1),0),IF('Personalkosten 2. Jahr'!C36&gt;0,'Personalkosten 2. Jahr'!M36/12,0))</f>
        <v>0</v>
      </c>
      <c r="H57" s="54">
        <f>IF(Q57&gt;0,IF(Q57&lt;=Hilfstabelle!$H$35=AND(R57&gt;=Hilfstabelle!$H$35),'Personalkosten 2. Jahr'!M36/(R57-Q57+1),0),IF('Personalkosten 2. Jahr'!C36&gt;0,'Personalkosten 2. Jahr'!M36/12,0))</f>
        <v>0</v>
      </c>
      <c r="I57" s="54">
        <f>IF(Q57&gt;0,IF(Q57&lt;=Hilfstabelle!$I$35=AND(R57&gt;=Hilfstabelle!$I$35),'Personalkosten 2. Jahr'!M36/(R57-Q57+1),0),IF('Personalkosten 2. Jahr'!C36&gt;0,'Personalkosten 2. Jahr'!M36/12,0))</f>
        <v>0</v>
      </c>
      <c r="J57" s="54">
        <f>IF(Q57&gt;0,IF(Q57&lt;=Hilfstabelle!$J$35=AND(R57&gt;=Hilfstabelle!$J$35),'Personalkosten 2. Jahr'!M36/(R57-Q57+1),0),IF('Personalkosten 2. Jahr'!C36&gt;0,'Personalkosten 2. Jahr'!M36/12,0))</f>
        <v>0</v>
      </c>
      <c r="K57" s="54">
        <f>IF(Q57&gt;0,IF(Q57&lt;=Hilfstabelle!$K$35=AND(R57&gt;=Hilfstabelle!$K$35),'Personalkosten 2. Jahr'!M36/(R57-Q57+1),0),IF('Personalkosten 2. Jahr'!C36&gt;0,'Personalkosten 2. Jahr'!M36/12,0))</f>
        <v>0</v>
      </c>
      <c r="L57" s="54">
        <f>IF(Q57&gt;0,IF(Q57&lt;=Hilfstabelle!$L$35=AND(R57&gt;=Hilfstabelle!$L$35),'Personalkosten 2. Jahr'!M36/(R57-Q57+1),0),IF('Personalkosten 2. Jahr'!C36&gt;0,'Personalkosten 2. Jahr'!M36/12,0))</f>
        <v>0</v>
      </c>
      <c r="M57" s="54">
        <f>IF(Q57&gt;0,IF(Q57&lt;=Hilfstabelle!$M$35=AND(R57&gt;=Hilfstabelle!$M$35),'Personalkosten 2. Jahr'!M36/(R57-Q57+1),0),IF('Personalkosten 2. Jahr'!C36&gt;0,'Personalkosten 2. Jahr'!M36/12,0))</f>
        <v>0</v>
      </c>
      <c r="N57" s="55">
        <f t="shared" si="4"/>
        <v>0</v>
      </c>
      <c r="O57" s="34"/>
      <c r="Q57" s="26">
        <f>IF('Personalkosten 2. Jahr'!D36="",1,IF(EOMONTH('Personalkosten 2. Jahr'!D36,0)=EOMONTH($R$34,0),1,IF(EOMONTH('Personalkosten 2. Jahr'!D36,0)=EOMONTH($R$34,1),2,IF(EOMONTH('Personalkosten 2. Jahr'!D36,0)=EOMONTH($R$34,2),3,IF(EOMONTH('Personalkosten 2. Jahr'!D36,0)=EOMONTH($R$34,3),4,IF(EOMONTH('Personalkosten 2. Jahr'!D36,0)=EOMONTH($R$34,4),5,IF(EOMONTH('Personalkosten 2. Jahr'!D36,0)=EOMONTH($R$34,5),6,IF(EOMONTH('Personalkosten 2. Jahr'!D36,0)=EOMONTH($R$34,6),7,IF(EOMONTH('Personalkosten 2. Jahr'!D36,0)=EOMONTH($R$34,7),8,IF(EOMONTH('Personalkosten 2. Jahr'!D36,0)=EOMONTH($R$34,8),9,IF(EOMONTH('Personalkosten 2. Jahr'!D36,0)=EOMONTH($R$34,9),10,IF(EOMONTH('Personalkosten 2. Jahr'!D36,0)=EOMONTH($R$34,10),11,IF(EOMONTH('Personalkosten 2. Jahr'!D36,0)=EOMONTH($R$34,11),12,"")))))))))))))</f>
        <v>1</v>
      </c>
      <c r="R57" s="26">
        <f>IF('Personalkosten 2. Jahr'!E36="",12,IF(EOMONTH('Personalkosten 2. Jahr'!E36,0)=EOMONTH($R$34,0),1,IF(EOMONTH('Personalkosten 2. Jahr'!E36,0)=EOMONTH($R$34,1),2,IF(EOMONTH('Personalkosten 2. Jahr'!E36,0)=EOMONTH($R$34,2),3,IF(EOMONTH('Personalkosten 2. Jahr'!E36,0)=EOMONTH($R$34,3),4,IF(EOMONTH('Personalkosten 2. Jahr'!E36,0)=EOMONTH($R$34,4),5,IF(EOMONTH('Personalkosten 2. Jahr'!E36,0)=EOMONTH($R$34,5),6,IF(EOMONTH('Personalkosten 2. Jahr'!E36,0)=EOMONTH($R$34,6),7,IF(EOMONTH('Personalkosten 2. Jahr'!E36,0)=EOMONTH($R$34,7),8,IF(EOMONTH('Personalkosten 2. Jahr'!E36,0)=EOMONTH($R$34,8),9,IF(EOMONTH('Personalkosten 2. Jahr'!E36,0)=EOMONTH($R$34,9),10,IF(EOMONTH('Personalkosten 2. Jahr'!E36,0)=EOMONTH($R$34,10),11,IF(EOMONTH('Personalkosten 2. Jahr'!E36,0)=EOMONTH($R$34,11),12,"")))))))))))))</f>
        <v>12</v>
      </c>
    </row>
    <row r="58" spans="1:18">
      <c r="A58" s="32">
        <v>23</v>
      </c>
      <c r="B58" s="54">
        <f>IF(Q58&gt;0,IF(Q58&lt;=Hilfstabelle!$B$35=AND(R58&gt;=Hilfstabelle!$B$35),'Personalkosten 2. Jahr'!M37/(R58-Q58+1),0),IF('Personalkosten 2. Jahr'!C37&gt;0,'Personalkosten 2. Jahr'!M37/12,0))</f>
        <v>0</v>
      </c>
      <c r="C58" s="54">
        <f>IF(Q58&gt;0,IF(Q58&lt;=Hilfstabelle!$C$35=AND(R58&gt;=Hilfstabelle!$C$35),'Personalkosten 2. Jahr'!M37/(R58-Q58+1),0),IF('Personalkosten 2. Jahr'!C37&gt;0,'Personalkosten 2. Jahr'!M37/12,0))</f>
        <v>0</v>
      </c>
      <c r="D58" s="54">
        <f>IF(Q58&gt;0,IF(Q58&lt;=Hilfstabelle!$D$35=AND(R58&gt;=Hilfstabelle!$D$35),'Personalkosten 2. Jahr'!M37/(R58-Q58+1),0),IF('Personalkosten 2. Jahr'!C37&gt;0,'Personalkosten 2. Jahr'!M37/12,0))</f>
        <v>0</v>
      </c>
      <c r="E58" s="54">
        <f>IF(Q58&gt;0,IF(Q58&lt;=Hilfstabelle!$E$35=AND(R58&gt;=Hilfstabelle!$E$35),'Personalkosten 2. Jahr'!M37/(R58-Q58+1),0),IF('Personalkosten 2. Jahr'!C37&gt;0,'Personalkosten 2. Jahr'!M37/12,0))</f>
        <v>0</v>
      </c>
      <c r="F58" s="54">
        <f>IF(Q58&gt;0,IF(Q58&lt;=Hilfstabelle!$F$35=AND(R58&gt;=Hilfstabelle!$F$35),'Personalkosten 2. Jahr'!M37/(R58-Q58+1),0),IF('Personalkosten 2. Jahr'!C37&gt;0,'Personalkosten 2. Jahr'!M37/12,0))</f>
        <v>0</v>
      </c>
      <c r="G58" s="54">
        <f>IF(Q58&gt;0,IF(Q58&lt;=Hilfstabelle!$G$35=AND(R58&gt;=Hilfstabelle!$G$35),'Personalkosten 2. Jahr'!M37/(R58-Q58+1),0),IF('Personalkosten 2. Jahr'!C37&gt;0,'Personalkosten 2. Jahr'!M37/12,0))</f>
        <v>0</v>
      </c>
      <c r="H58" s="54">
        <f>IF(Q58&gt;0,IF(Q58&lt;=Hilfstabelle!$H$35=AND(R58&gt;=Hilfstabelle!$H$35),'Personalkosten 2. Jahr'!M37/(R58-Q58+1),0),IF('Personalkosten 2. Jahr'!C37&gt;0,'Personalkosten 2. Jahr'!M37/12,0))</f>
        <v>0</v>
      </c>
      <c r="I58" s="54">
        <f>IF(Q58&gt;0,IF(Q58&lt;=Hilfstabelle!$I$35=AND(R58&gt;=Hilfstabelle!$I$35),'Personalkosten 2. Jahr'!M37/(R58-Q58+1),0),IF('Personalkosten 2. Jahr'!C37&gt;0,'Personalkosten 2. Jahr'!M37/12,0))</f>
        <v>0</v>
      </c>
      <c r="J58" s="54">
        <f>IF(Q58&gt;0,IF(Q58&lt;=Hilfstabelle!$J$35=AND(R58&gt;=Hilfstabelle!$J$35),'Personalkosten 2. Jahr'!M37/(R58-Q58+1),0),IF('Personalkosten 2. Jahr'!C37&gt;0,'Personalkosten 2. Jahr'!M37/12,0))</f>
        <v>0</v>
      </c>
      <c r="K58" s="54">
        <f>IF(Q58&gt;0,IF(Q58&lt;=Hilfstabelle!$K$35=AND(R58&gt;=Hilfstabelle!$K$35),'Personalkosten 2. Jahr'!M37/(R58-Q58+1),0),IF('Personalkosten 2. Jahr'!C37&gt;0,'Personalkosten 2. Jahr'!M37/12,0))</f>
        <v>0</v>
      </c>
      <c r="L58" s="54">
        <f>IF(Q58&gt;0,IF(Q58&lt;=Hilfstabelle!$L$35=AND(R58&gt;=Hilfstabelle!$L$35),'Personalkosten 2. Jahr'!M37/(R58-Q58+1),0),IF('Personalkosten 2. Jahr'!C37&gt;0,'Personalkosten 2. Jahr'!M37/12,0))</f>
        <v>0</v>
      </c>
      <c r="M58" s="54">
        <f>IF(Q58&gt;0,IF(Q58&lt;=Hilfstabelle!$M$35=AND(R58&gt;=Hilfstabelle!$M$35),'Personalkosten 2. Jahr'!M37/(R58-Q58+1),0),IF('Personalkosten 2. Jahr'!C37&gt;0,'Personalkosten 2. Jahr'!M37/12,0))</f>
        <v>0</v>
      </c>
      <c r="N58" s="55">
        <f t="shared" si="4"/>
        <v>0</v>
      </c>
      <c r="O58" s="34"/>
      <c r="Q58" s="26">
        <f>IF('Personalkosten 2. Jahr'!D37="",1,IF(EOMONTH('Personalkosten 2. Jahr'!D37,0)=EOMONTH($R$34,0),1,IF(EOMONTH('Personalkosten 2. Jahr'!D37,0)=EOMONTH($R$34,1),2,IF(EOMONTH('Personalkosten 2. Jahr'!D37,0)=EOMONTH($R$34,2),3,IF(EOMONTH('Personalkosten 2. Jahr'!D37,0)=EOMONTH($R$34,3),4,IF(EOMONTH('Personalkosten 2. Jahr'!D37,0)=EOMONTH($R$34,4),5,IF(EOMONTH('Personalkosten 2. Jahr'!D37,0)=EOMONTH($R$34,5),6,IF(EOMONTH('Personalkosten 2. Jahr'!D37,0)=EOMONTH($R$34,6),7,IF(EOMONTH('Personalkosten 2. Jahr'!D37,0)=EOMONTH($R$34,7),8,IF(EOMONTH('Personalkosten 2. Jahr'!D37,0)=EOMONTH($R$34,8),9,IF(EOMONTH('Personalkosten 2. Jahr'!D37,0)=EOMONTH($R$34,9),10,IF(EOMONTH('Personalkosten 2. Jahr'!D37,0)=EOMONTH($R$34,10),11,IF(EOMONTH('Personalkosten 2. Jahr'!D37,0)=EOMONTH($R$34,11),12,"")))))))))))))</f>
        <v>1</v>
      </c>
      <c r="R58" s="26">
        <f>IF('Personalkosten 2. Jahr'!E37="",12,IF(EOMONTH('Personalkosten 2. Jahr'!E37,0)=EOMONTH($R$34,0),1,IF(EOMONTH('Personalkosten 2. Jahr'!E37,0)=EOMONTH($R$34,1),2,IF(EOMONTH('Personalkosten 2. Jahr'!E37,0)=EOMONTH($R$34,2),3,IF(EOMONTH('Personalkosten 2. Jahr'!E37,0)=EOMONTH($R$34,3),4,IF(EOMONTH('Personalkosten 2. Jahr'!E37,0)=EOMONTH($R$34,4),5,IF(EOMONTH('Personalkosten 2. Jahr'!E37,0)=EOMONTH($R$34,5),6,IF(EOMONTH('Personalkosten 2. Jahr'!E37,0)=EOMONTH($R$34,6),7,IF(EOMONTH('Personalkosten 2. Jahr'!E37,0)=EOMONTH($R$34,7),8,IF(EOMONTH('Personalkosten 2. Jahr'!E37,0)=EOMONTH($R$34,8),9,IF(EOMONTH('Personalkosten 2. Jahr'!E37,0)=EOMONTH($R$34,9),10,IF(EOMONTH('Personalkosten 2. Jahr'!E37,0)=EOMONTH($R$34,10),11,IF(EOMONTH('Personalkosten 2. Jahr'!E37,0)=EOMONTH($R$34,11),12,"")))))))))))))</f>
        <v>12</v>
      </c>
    </row>
    <row r="59" spans="1:18">
      <c r="A59" s="32">
        <v>24</v>
      </c>
      <c r="B59" s="54">
        <f>IF(Q59&gt;0,IF(Q59&lt;=Hilfstabelle!$B$35=AND(R59&gt;=Hilfstabelle!$B$35),'Personalkosten 2. Jahr'!M38/(R59-Q59+1),0),IF('Personalkosten 2. Jahr'!C38&gt;0,'Personalkosten 2. Jahr'!M38/12,0))</f>
        <v>0</v>
      </c>
      <c r="C59" s="54">
        <f>IF(Q59&gt;0,IF(Q59&lt;=Hilfstabelle!$C$35=AND(R59&gt;=Hilfstabelle!$C$35),'Personalkosten 2. Jahr'!M38/(R59-Q59+1),0),IF('Personalkosten 2. Jahr'!C38&gt;0,'Personalkosten 2. Jahr'!M38/12,0))</f>
        <v>0</v>
      </c>
      <c r="D59" s="54">
        <f>IF(Q59&gt;0,IF(Q59&lt;=Hilfstabelle!$D$35=AND(R59&gt;=Hilfstabelle!$D$35),'Personalkosten 2. Jahr'!M38/(R59-Q59+1),0),IF('Personalkosten 2. Jahr'!C38&gt;0,'Personalkosten 2. Jahr'!M38/12,0))</f>
        <v>0</v>
      </c>
      <c r="E59" s="54">
        <f>IF(Q59&gt;0,IF(Q59&lt;=Hilfstabelle!$E$35=AND(R59&gt;=Hilfstabelle!$E$35),'Personalkosten 2. Jahr'!M38/(R59-Q59+1),0),IF('Personalkosten 2. Jahr'!C38&gt;0,'Personalkosten 2. Jahr'!M38/12,0))</f>
        <v>0</v>
      </c>
      <c r="F59" s="54">
        <f>IF(Q59&gt;0,IF(Q59&lt;=Hilfstabelle!$F$35=AND(R59&gt;=Hilfstabelle!$F$35),'Personalkosten 2. Jahr'!M38/(R59-Q59+1),0),IF('Personalkosten 2. Jahr'!C38&gt;0,'Personalkosten 2. Jahr'!M38/12,0))</f>
        <v>0</v>
      </c>
      <c r="G59" s="54">
        <f>IF(Q59&gt;0,IF(Q59&lt;=Hilfstabelle!$G$35=AND(R59&gt;=Hilfstabelle!$G$35),'Personalkosten 2. Jahr'!M38/(R59-Q59+1),0),IF('Personalkosten 2. Jahr'!C38&gt;0,'Personalkosten 2. Jahr'!M38/12,0))</f>
        <v>0</v>
      </c>
      <c r="H59" s="54">
        <f>IF(Q59&gt;0,IF(Q59&lt;=Hilfstabelle!$H$35=AND(R59&gt;=Hilfstabelle!$H$35),'Personalkosten 2. Jahr'!M38/(R59-Q59+1),0),IF('Personalkosten 2. Jahr'!C38&gt;0,'Personalkosten 2. Jahr'!M38/12,0))</f>
        <v>0</v>
      </c>
      <c r="I59" s="54">
        <f>IF(Q59&gt;0,IF(Q59&lt;=Hilfstabelle!$I$35=AND(R59&gt;=Hilfstabelle!$I$35),'Personalkosten 2. Jahr'!M38/(R59-Q59+1),0),IF('Personalkosten 2. Jahr'!C38&gt;0,'Personalkosten 2. Jahr'!M38/12,0))</f>
        <v>0</v>
      </c>
      <c r="J59" s="54">
        <f>IF(Q59&gt;0,IF(Q59&lt;=Hilfstabelle!$J$35=AND(R59&gt;=Hilfstabelle!$J$35),'Personalkosten 2. Jahr'!M38/(R59-Q59+1),0),IF('Personalkosten 2. Jahr'!C38&gt;0,'Personalkosten 2. Jahr'!M38/12,0))</f>
        <v>0</v>
      </c>
      <c r="K59" s="54">
        <f>IF(Q59&gt;0,IF(Q59&lt;=Hilfstabelle!$K$35=AND(R59&gt;=Hilfstabelle!$K$35),'Personalkosten 2. Jahr'!M38/(R59-Q59+1),0),IF('Personalkosten 2. Jahr'!C38&gt;0,'Personalkosten 2. Jahr'!M38/12,0))</f>
        <v>0</v>
      </c>
      <c r="L59" s="54">
        <f>IF(Q59&gt;0,IF(Q59&lt;=Hilfstabelle!$L$35=AND(R59&gt;=Hilfstabelle!$L$35),'Personalkosten 2. Jahr'!M38/(R59-Q59+1),0),IF('Personalkosten 2. Jahr'!C38&gt;0,'Personalkosten 2. Jahr'!M38/12,0))</f>
        <v>0</v>
      </c>
      <c r="M59" s="54">
        <f>IF(Q59&gt;0,IF(Q59&lt;=Hilfstabelle!$M$35=AND(R59&gt;=Hilfstabelle!$M$35),'Personalkosten 2. Jahr'!M38/(R59-Q59+1),0),IF('Personalkosten 2. Jahr'!C38&gt;0,'Personalkosten 2. Jahr'!M38/12,0))</f>
        <v>0</v>
      </c>
      <c r="N59" s="55">
        <f t="shared" si="4"/>
        <v>0</v>
      </c>
      <c r="O59" s="34"/>
      <c r="Q59" s="26">
        <f>IF('Personalkosten 2. Jahr'!D38="",1,IF(EOMONTH('Personalkosten 2. Jahr'!D38,0)=EOMONTH($R$34,0),1,IF(EOMONTH('Personalkosten 2. Jahr'!D38,0)=EOMONTH($R$34,1),2,IF(EOMONTH('Personalkosten 2. Jahr'!D38,0)=EOMONTH($R$34,2),3,IF(EOMONTH('Personalkosten 2. Jahr'!D38,0)=EOMONTH($R$34,3),4,IF(EOMONTH('Personalkosten 2. Jahr'!D38,0)=EOMONTH($R$34,4),5,IF(EOMONTH('Personalkosten 2. Jahr'!D38,0)=EOMONTH($R$34,5),6,IF(EOMONTH('Personalkosten 2. Jahr'!D38,0)=EOMONTH($R$34,6),7,IF(EOMONTH('Personalkosten 2. Jahr'!D38,0)=EOMONTH($R$34,7),8,IF(EOMONTH('Personalkosten 2. Jahr'!D38,0)=EOMONTH($R$34,8),9,IF(EOMONTH('Personalkosten 2. Jahr'!D38,0)=EOMONTH($R$34,9),10,IF(EOMONTH('Personalkosten 2. Jahr'!D38,0)=EOMONTH($R$34,10),11,IF(EOMONTH('Personalkosten 2. Jahr'!D38,0)=EOMONTH($R$34,11),12,"")))))))))))))</f>
        <v>1</v>
      </c>
      <c r="R59" s="26">
        <f>IF('Personalkosten 2. Jahr'!E38="",12,IF(EOMONTH('Personalkosten 2. Jahr'!E38,0)=EOMONTH($R$34,0),1,IF(EOMONTH('Personalkosten 2. Jahr'!E38,0)=EOMONTH($R$34,1),2,IF(EOMONTH('Personalkosten 2. Jahr'!E38,0)=EOMONTH($R$34,2),3,IF(EOMONTH('Personalkosten 2. Jahr'!E38,0)=EOMONTH($R$34,3),4,IF(EOMONTH('Personalkosten 2. Jahr'!E38,0)=EOMONTH($R$34,4),5,IF(EOMONTH('Personalkosten 2. Jahr'!E38,0)=EOMONTH($R$34,5),6,IF(EOMONTH('Personalkosten 2. Jahr'!E38,0)=EOMONTH($R$34,6),7,IF(EOMONTH('Personalkosten 2. Jahr'!E38,0)=EOMONTH($R$34,7),8,IF(EOMONTH('Personalkosten 2. Jahr'!E38,0)=EOMONTH($R$34,8),9,IF(EOMONTH('Personalkosten 2. Jahr'!E38,0)=EOMONTH($R$34,9),10,IF(EOMONTH('Personalkosten 2. Jahr'!E38,0)=EOMONTH($R$34,10),11,IF(EOMONTH('Personalkosten 2. Jahr'!E38,0)=EOMONTH($R$34,11),12,"")))))))))))))</f>
        <v>12</v>
      </c>
    </row>
    <row r="60" spans="1:18">
      <c r="A60" s="32" t="s">
        <v>352</v>
      </c>
      <c r="B60" s="57" t="e">
        <f>('Personalkosten 2. Jahr'!$M$40+'Personalkosten 2. Jahr'!$M$41)*Hilfstabelle!B61/'Personalkosten 2. Jahr'!$M$39</f>
        <v>#DIV/0!</v>
      </c>
      <c r="C60" s="57" t="e">
        <f>('Personalkosten 2. Jahr'!$M$40+'Personalkosten 2. Jahr'!$M$41)*Hilfstabelle!C61/'Personalkosten 2. Jahr'!$M$39</f>
        <v>#DIV/0!</v>
      </c>
      <c r="D60" s="57" t="e">
        <f>('Personalkosten 2. Jahr'!$M$40+'Personalkosten 2. Jahr'!$M$41)*Hilfstabelle!D61/'Personalkosten 2. Jahr'!$M$39</f>
        <v>#DIV/0!</v>
      </c>
      <c r="E60" s="57" t="e">
        <f>('Personalkosten 2. Jahr'!$M$40+'Personalkosten 2. Jahr'!$M$41)*Hilfstabelle!E61/'Personalkosten 2. Jahr'!$M$39</f>
        <v>#DIV/0!</v>
      </c>
      <c r="F60" s="57" t="e">
        <f>('Personalkosten 2. Jahr'!$M$40+'Personalkosten 2. Jahr'!$M$41)*Hilfstabelle!F61/'Personalkosten 2. Jahr'!$M$39</f>
        <v>#DIV/0!</v>
      </c>
      <c r="G60" s="57" t="e">
        <f>('Personalkosten 2. Jahr'!$M$40+'Personalkosten 2. Jahr'!$M$41)*Hilfstabelle!G61/'Personalkosten 2. Jahr'!$M$39</f>
        <v>#DIV/0!</v>
      </c>
      <c r="H60" s="57" t="e">
        <f>('Personalkosten 2. Jahr'!$M$40+'Personalkosten 2. Jahr'!$M$41)*Hilfstabelle!H61/'Personalkosten 2. Jahr'!$M$39</f>
        <v>#DIV/0!</v>
      </c>
      <c r="I60" s="57" t="e">
        <f>('Personalkosten 2. Jahr'!$M$40+'Personalkosten 2. Jahr'!$M$41)*Hilfstabelle!I61/'Personalkosten 2. Jahr'!$M$39</f>
        <v>#DIV/0!</v>
      </c>
      <c r="J60" s="57" t="e">
        <f>('Personalkosten 2. Jahr'!$M$40+'Personalkosten 2. Jahr'!$M$41)*Hilfstabelle!J61/'Personalkosten 2. Jahr'!$M$39</f>
        <v>#DIV/0!</v>
      </c>
      <c r="K60" s="57" t="e">
        <f>('Personalkosten 2. Jahr'!$M$40+'Personalkosten 2. Jahr'!$M$41)*Hilfstabelle!K61/'Personalkosten 2. Jahr'!$M$39</f>
        <v>#DIV/0!</v>
      </c>
      <c r="L60" s="57" t="e">
        <f>('Personalkosten 2. Jahr'!$M$40+'Personalkosten 2. Jahr'!$M$41)*Hilfstabelle!L61/'Personalkosten 2. Jahr'!$M$39</f>
        <v>#DIV/0!</v>
      </c>
      <c r="M60" s="57" t="e">
        <f>('Personalkosten 2. Jahr'!$M$40+'Personalkosten 2. Jahr'!$M$41)*Hilfstabelle!M61/'Personalkosten 2. Jahr'!$M$39</f>
        <v>#DIV/0!</v>
      </c>
      <c r="N60" s="58" t="e">
        <f t="shared" si="4"/>
        <v>#DIV/0!</v>
      </c>
      <c r="O60" s="34"/>
    </row>
    <row r="61" spans="1:18">
      <c r="A61" s="32" t="s">
        <v>5</v>
      </c>
      <c r="B61" s="57">
        <f>SUM(B36:B59)</f>
        <v>0</v>
      </c>
      <c r="C61" s="57">
        <f>SUM(C36:C59)</f>
        <v>0</v>
      </c>
      <c r="D61" s="57">
        <f t="shared" ref="D61:M61" si="6">SUM(D36:D59)</f>
        <v>0</v>
      </c>
      <c r="E61" s="57">
        <f t="shared" si="6"/>
        <v>0</v>
      </c>
      <c r="F61" s="57">
        <f t="shared" si="6"/>
        <v>0</v>
      </c>
      <c r="G61" s="57">
        <f t="shared" si="6"/>
        <v>0</v>
      </c>
      <c r="H61" s="57">
        <f t="shared" si="6"/>
        <v>0</v>
      </c>
      <c r="I61" s="57">
        <f t="shared" si="6"/>
        <v>0</v>
      </c>
      <c r="J61" s="57">
        <f t="shared" si="6"/>
        <v>0</v>
      </c>
      <c r="K61" s="57">
        <f t="shared" si="6"/>
        <v>0</v>
      </c>
      <c r="L61" s="57">
        <f t="shared" si="6"/>
        <v>0</v>
      </c>
      <c r="M61" s="57">
        <f t="shared" si="6"/>
        <v>0</v>
      </c>
      <c r="N61" s="58">
        <f t="shared" si="4"/>
        <v>0</v>
      </c>
      <c r="O61" s="34"/>
    </row>
    <row r="62" spans="1:18">
      <c r="A62" s="32" t="s">
        <v>5</v>
      </c>
      <c r="B62" s="57">
        <f>IF(B61&gt;0,B60+B61,B61)</f>
        <v>0</v>
      </c>
      <c r="C62" s="57">
        <f>IF(C61&gt;0,C60+C61,C61)</f>
        <v>0</v>
      </c>
      <c r="D62" s="57">
        <f t="shared" ref="D62:M62" si="7">IF(D61&gt;0,D60+D61,D61)</f>
        <v>0</v>
      </c>
      <c r="E62" s="57">
        <f t="shared" si="7"/>
        <v>0</v>
      </c>
      <c r="F62" s="57">
        <f t="shared" si="7"/>
        <v>0</v>
      </c>
      <c r="G62" s="57">
        <f t="shared" si="7"/>
        <v>0</v>
      </c>
      <c r="H62" s="57">
        <f t="shared" si="7"/>
        <v>0</v>
      </c>
      <c r="I62" s="57">
        <f t="shared" si="7"/>
        <v>0</v>
      </c>
      <c r="J62" s="57">
        <f t="shared" si="7"/>
        <v>0</v>
      </c>
      <c r="K62" s="57">
        <f t="shared" si="7"/>
        <v>0</v>
      </c>
      <c r="L62" s="57">
        <f t="shared" si="7"/>
        <v>0</v>
      </c>
      <c r="M62" s="57">
        <f t="shared" si="7"/>
        <v>0</v>
      </c>
      <c r="N62" s="58">
        <f t="shared" si="4"/>
        <v>0</v>
      </c>
      <c r="O62" s="34"/>
    </row>
    <row r="63" spans="1:18">
      <c r="A63" s="32"/>
      <c r="B63" s="56"/>
      <c r="C63" s="56"/>
      <c r="D63" s="56"/>
      <c r="E63" s="56"/>
      <c r="F63" s="56"/>
      <c r="G63" s="56"/>
      <c r="H63" s="56"/>
      <c r="I63" s="56"/>
      <c r="J63" s="56"/>
      <c r="K63" s="56"/>
      <c r="L63" s="56"/>
      <c r="M63" s="56"/>
      <c r="N63" s="56"/>
      <c r="O63" s="34"/>
    </row>
    <row r="64" spans="1:18">
      <c r="A64" s="32"/>
      <c r="B64" s="56"/>
      <c r="C64" s="56"/>
      <c r="D64" s="56"/>
      <c r="E64" s="56"/>
      <c r="F64" s="56"/>
      <c r="G64" s="56"/>
      <c r="H64" s="56"/>
      <c r="I64" s="56"/>
      <c r="J64" s="56"/>
      <c r="K64" s="56"/>
      <c r="L64" s="56"/>
      <c r="M64" s="56"/>
      <c r="N64" s="56"/>
      <c r="O64" s="34"/>
    </row>
    <row r="65" spans="1:18">
      <c r="A65" s="32"/>
      <c r="B65" s="56"/>
      <c r="C65" s="56"/>
      <c r="D65" s="56"/>
      <c r="E65" s="56"/>
      <c r="F65" s="56"/>
      <c r="G65" s="56"/>
      <c r="H65" s="56"/>
      <c r="I65" s="56"/>
      <c r="J65" s="56"/>
      <c r="K65" s="56"/>
      <c r="L65" s="56"/>
      <c r="M65" s="56"/>
      <c r="N65" s="56"/>
      <c r="O65" s="34"/>
    </row>
    <row r="66" spans="1:18">
      <c r="A66" s="32"/>
      <c r="B66" s="56"/>
      <c r="C66" s="56"/>
      <c r="D66" s="56"/>
      <c r="E66" s="56"/>
      <c r="F66" s="56"/>
      <c r="G66" s="56"/>
      <c r="H66" s="56"/>
      <c r="I66" s="56"/>
      <c r="J66" s="56"/>
      <c r="K66" s="56"/>
      <c r="L66" s="56"/>
      <c r="M66" s="56"/>
      <c r="N66" s="56"/>
      <c r="O66" s="34"/>
    </row>
    <row r="67" spans="1:18">
      <c r="A67" s="32"/>
      <c r="B67" s="56"/>
      <c r="C67" s="56"/>
      <c r="D67" s="56"/>
      <c r="E67" s="56"/>
      <c r="F67" s="56"/>
      <c r="G67" s="56"/>
      <c r="H67" s="56"/>
      <c r="I67" s="56"/>
      <c r="J67" s="56"/>
      <c r="K67" s="56"/>
      <c r="L67" s="56"/>
      <c r="M67" s="56"/>
      <c r="N67" s="56"/>
      <c r="O67" s="34"/>
      <c r="Q67" s="26" t="s">
        <v>545</v>
      </c>
      <c r="R67" s="994">
        <f>DATE(YEAR(R34)+1,MONTH(R34),DAY(R34))</f>
        <v>46327</v>
      </c>
    </row>
    <row r="68" spans="1:18">
      <c r="A68" s="32" t="s">
        <v>351</v>
      </c>
      <c r="B68" s="36">
        <v>1</v>
      </c>
      <c r="C68" s="36">
        <v>2</v>
      </c>
      <c r="D68" s="36">
        <v>3</v>
      </c>
      <c r="E68" s="36">
        <v>4</v>
      </c>
      <c r="F68" s="36">
        <v>5</v>
      </c>
      <c r="G68" s="36">
        <v>6</v>
      </c>
      <c r="H68" s="36">
        <v>7</v>
      </c>
      <c r="I68" s="36">
        <v>8</v>
      </c>
      <c r="J68" s="36">
        <v>9</v>
      </c>
      <c r="K68" s="36">
        <v>10</v>
      </c>
      <c r="L68" s="36">
        <v>11</v>
      </c>
      <c r="M68" s="36">
        <v>12</v>
      </c>
      <c r="N68" s="57" t="s">
        <v>5</v>
      </c>
      <c r="O68" s="34"/>
      <c r="Q68" s="26" t="s">
        <v>528</v>
      </c>
      <c r="R68" s="26" t="s">
        <v>203</v>
      </c>
    </row>
    <row r="69" spans="1:18">
      <c r="A69" s="32">
        <v>1</v>
      </c>
      <c r="B69" s="54">
        <f>IF(Q69&gt;0,IF(Q69&lt;=Hilfstabelle!$B$68=AND(R69&gt;=Hilfstabelle!$B$68),'Personalkosten 3. Jahr'!M15/(R69-Q69+1),0),IF('Personalkosten 3. Jahr'!C15&gt;0,'Personalkosten 3. Jahr'!M15/12,0))</f>
        <v>0</v>
      </c>
      <c r="C69" s="54">
        <f>IF(Q69&gt;0,IF(Q69&lt;=Hilfstabelle!$C$68=AND(R69&gt;=Hilfstabelle!$C$68),'Personalkosten 3. Jahr'!M15/(R69-Q69+1),0),IF('Personalkosten 3. Jahr'!C15&gt;0,'Personalkosten 3. Jahr'!M15/12,0))</f>
        <v>0</v>
      </c>
      <c r="D69" s="54">
        <f>IF(Q69&gt;0,IF(Q69&lt;=Hilfstabelle!$D$68=AND(R69&gt;=Hilfstabelle!$D$68),'Personalkosten 3. Jahr'!M15/(R69-Q69+1),0),IF('Personalkosten 3. Jahr'!C15&gt;0,'Personalkosten 3. Jahr'!M15/12,0))</f>
        <v>0</v>
      </c>
      <c r="E69" s="54">
        <f>IF(Q69&gt;0,IF(Q69&lt;=Hilfstabelle!$E$68=AND(R69&gt;=Hilfstabelle!$E$68),'Personalkosten 3. Jahr'!M15/(R69-Q69+1),0),IF('Personalkosten 3. Jahr'!C15&gt;0,'Personalkosten 3. Jahr'!M15/12,0))</f>
        <v>0</v>
      </c>
      <c r="F69" s="54">
        <f>IF(Q69&gt;0,IF(Q69&lt;=Hilfstabelle!$F$68=AND(R69&gt;=Hilfstabelle!$F$68),'Personalkosten 3. Jahr'!M15/(R69-Q69+1),0),IF('Personalkosten 3. Jahr'!C15&gt;0,'Personalkosten 3. Jahr'!M15/12,0))</f>
        <v>0</v>
      </c>
      <c r="G69" s="54">
        <f>IF(Q69&gt;0,IF(Q69&lt;=Hilfstabelle!$G$68=AND(R69&gt;=Hilfstabelle!$G$68),'Personalkosten 3. Jahr'!M15/(R69-Q69+1),0),IF('Personalkosten 3. Jahr'!C15&gt;0,'Personalkosten 3. Jahr'!M15/12,0))</f>
        <v>0</v>
      </c>
      <c r="H69" s="54">
        <f>IF(Q69&gt;0,IF(Q69&lt;=Hilfstabelle!$H$68=AND(R69&gt;=Hilfstabelle!$H$68),'Personalkosten 3. Jahr'!M15/(R69-Q69+1),0),IF('Personalkosten 3. Jahr'!C15&gt;0,'Personalkosten 3. Jahr'!M15/12,0))</f>
        <v>0</v>
      </c>
      <c r="I69" s="54">
        <f>IF(Q69&gt;0,IF(Q69&lt;=Hilfstabelle!$I$68=AND(R69&gt;=Hilfstabelle!$I$68),'Personalkosten 3. Jahr'!M15/(R69-Q69+1),0),IF('Personalkosten 3. Jahr'!C15&gt;0,'Personalkosten 3. Jahr'!M15/12,0))</f>
        <v>0</v>
      </c>
      <c r="J69" s="54">
        <f>IF(Q69&gt;0,IF(Q69&lt;=Hilfstabelle!$J$68=AND(R69&gt;=Hilfstabelle!$J$68),'Personalkosten 3. Jahr'!M15/(R69-Q69+1),0),IF('Personalkosten 3. Jahr'!C15&gt;0,'Personalkosten 3. Jahr'!M15/12,0))</f>
        <v>0</v>
      </c>
      <c r="K69" s="54">
        <f>IF(Q69&gt;0,IF(Q69&lt;=Hilfstabelle!$K$68=AND(R69&gt;=Hilfstabelle!$K$68),'Personalkosten 3. Jahr'!M15/(R69-Q69+1),0),IF('Personalkosten 3. Jahr'!C15&gt;0,'Personalkosten 3. Jahr'!M15/12,0))</f>
        <v>0</v>
      </c>
      <c r="L69" s="54">
        <f>IF(Q69&gt;0,IF(Q69&lt;=Hilfstabelle!$L$68=AND(R69&gt;=Hilfstabelle!$L$68),'Personalkosten 3. Jahr'!M15/(R69-Q69+1),0),IF('Personalkosten 3. Jahr'!C15&gt;0,'Personalkosten 3. Jahr'!M15/12,0))</f>
        <v>0</v>
      </c>
      <c r="M69" s="54">
        <f>IF(Q69&gt;0,IF(Q69&lt;=Hilfstabelle!$M$68=AND(R69&gt;=Hilfstabelle!$M$68),'Personalkosten 3. Jahr'!M15/(R69-Q69+1),0),IF('Personalkosten 3. Jahr'!C15&gt;0,'Personalkosten 3. Jahr'!M15/12,0))</f>
        <v>0</v>
      </c>
      <c r="N69" s="55">
        <f>SUM(B69:M69)</f>
        <v>0</v>
      </c>
      <c r="O69" s="34"/>
      <c r="Q69" s="26">
        <f>IF('Personalkosten 3. Jahr'!D15="",1,IF(EOMONTH('Personalkosten 3. Jahr'!D15,0)=EOMONTH($R$67,0),1,IF(EOMONTH('Personalkosten 3. Jahr'!D15,0)=EOMONTH($R$67,1),2,IF(EOMONTH('Personalkosten 3. Jahr'!D15,0)=EOMONTH($R$67,2),3,IF(EOMONTH('Personalkosten 3. Jahr'!D15,0)=EOMONTH($R$67,3),4,IF(EOMONTH('Personalkosten 3. Jahr'!D15,0)=EOMONTH($R$67,4),5,IF(EOMONTH('Personalkosten 3. Jahr'!D15,0)=EOMONTH($R$67,5),6,IF(EOMONTH('Personalkosten 3. Jahr'!D15,0)=EOMONTH($R$67,6),7,IF(EOMONTH('Personalkosten 3. Jahr'!D15,0)=EOMONTH($R$67,7),8,IF(EOMONTH('Personalkosten 3. Jahr'!D15,0)=EOMONTH($R$67,8),9,IF(EOMONTH('Personalkosten 3. Jahr'!D15,0)=EOMONTH($R$67,9),10,IF(EOMONTH('Personalkosten 3. Jahr'!D15,0)=EOMONTH($R$67,10),11,IF(EOMONTH('Personalkosten 3. Jahr'!D15,0)=EOMONTH($R$67,11),12,"")))))))))))))</f>
        <v>1</v>
      </c>
      <c r="R69" s="26">
        <f>IF('Personalkosten 3. Jahr'!E15="",12,IF(EOMONTH('Personalkosten 3. Jahr'!E15,0)=EOMONTH($R$67,0),1,IF(EOMONTH('Personalkosten 3. Jahr'!E15,0)=EOMONTH($R$67,1),2,IF(EOMONTH('Personalkosten 3. Jahr'!E15,0)=EOMONTH($R$67,2),3,IF(EOMONTH('Personalkosten 3. Jahr'!E15,0)=EOMONTH($R$67,3),4,IF(EOMONTH('Personalkosten 3. Jahr'!E15,0)=EOMONTH($R$67,4),5,IF(EOMONTH('Personalkosten 3. Jahr'!E15,0)=EOMONTH($R$67,5),6,IF(EOMONTH('Personalkosten 3. Jahr'!E15,0)=EOMONTH($R$67,6),7,IF(EOMONTH('Personalkosten 3. Jahr'!E15,0)=EOMONTH($R$67,7),8,IF(EOMONTH('Personalkosten 3. Jahr'!E15,0)=EOMONTH($R$67,8),9,IF(EOMONTH('Personalkosten 3. Jahr'!E15,0)=EOMONTH($R$67,9),10,IF(EOMONTH('Personalkosten 3. Jahr'!E15,0)=EOMONTH($R$67,10),11,IF(EOMONTH('Personalkosten 3. Jahr'!E15,0)=EOMONTH($R$67,11),12,"")))))))))))))</f>
        <v>12</v>
      </c>
    </row>
    <row r="70" spans="1:18">
      <c r="A70" s="32">
        <v>2</v>
      </c>
      <c r="B70" s="54">
        <f>IF(Q70&gt;0,IF(Q70&lt;=Hilfstabelle!$B$68=AND(R70&gt;=Hilfstabelle!$B$68),'Personalkosten 3. Jahr'!M16/(R70-Q70+1),0),IF('Personalkosten 3. Jahr'!C16&gt;0,'Personalkosten 3. Jahr'!M16/12,0))</f>
        <v>0</v>
      </c>
      <c r="C70" s="54">
        <f>IF(Q70&gt;0,IF(Q70&lt;=Hilfstabelle!$C$68=AND(R70&gt;=Hilfstabelle!$C$68),'Personalkosten 3. Jahr'!M16/(R70-Q70+1),0),IF('Personalkosten 3. Jahr'!C16&gt;0,'Personalkosten 3. Jahr'!M16/12,0))</f>
        <v>0</v>
      </c>
      <c r="D70" s="54">
        <f>IF(Q70&gt;0,IF(Q70&lt;=Hilfstabelle!$D$68=AND(R70&gt;=Hilfstabelle!$D$68),'Personalkosten 3. Jahr'!M16/(R70-Q70+1),0),IF('Personalkosten 3. Jahr'!C16&gt;0,'Personalkosten 3. Jahr'!M16/12,0))</f>
        <v>0</v>
      </c>
      <c r="E70" s="54">
        <f>IF(Q70&gt;0,IF(Q70&lt;=Hilfstabelle!$E$68=AND(R70&gt;=Hilfstabelle!$E$68),'Personalkosten 3. Jahr'!M16/(R70-Q70+1),0),IF('Personalkosten 3. Jahr'!C16&gt;0,'Personalkosten 3. Jahr'!M16/12,0))</f>
        <v>0</v>
      </c>
      <c r="F70" s="54">
        <f>IF(Q70&gt;0,IF(Q70&lt;=Hilfstabelle!$F$68=AND(R70&gt;=Hilfstabelle!$F$68),'Personalkosten 3. Jahr'!M16/(R70-Q70+1),0),IF('Personalkosten 3. Jahr'!C16&gt;0,'Personalkosten 3. Jahr'!M16/12,0))</f>
        <v>0</v>
      </c>
      <c r="G70" s="54">
        <f>IF(Q70&gt;0,IF(Q70&lt;=Hilfstabelle!$G$68=AND(R70&gt;=Hilfstabelle!$G$68),'Personalkosten 3. Jahr'!M16/(R70-Q70+1),0),IF('Personalkosten 3. Jahr'!C16&gt;0,'Personalkosten 3. Jahr'!M16/12,0))</f>
        <v>0</v>
      </c>
      <c r="H70" s="54">
        <f>IF(Q70&gt;0,IF(Q70&lt;=Hilfstabelle!$H$68=AND(R70&gt;=Hilfstabelle!$H$68),'Personalkosten 3. Jahr'!M16/(R70-Q70+1),0),IF('Personalkosten 3. Jahr'!C16&gt;0,'Personalkosten 3. Jahr'!M16/12,0))</f>
        <v>0</v>
      </c>
      <c r="I70" s="54">
        <f>IF(Q70&gt;0,IF(Q70&lt;=Hilfstabelle!$I$68=AND(R70&gt;=Hilfstabelle!$I$68),'Personalkosten 3. Jahr'!M16/(R70-Q70+1),0),IF('Personalkosten 3. Jahr'!C16&gt;0,'Personalkosten 3. Jahr'!M16/12,0))</f>
        <v>0</v>
      </c>
      <c r="J70" s="54">
        <f>IF(Q70&gt;0,IF(Q70&lt;=Hilfstabelle!$J$68=AND(R70&gt;=Hilfstabelle!$J$68),'Personalkosten 3. Jahr'!M16/(R70-Q70+1),0),IF('Personalkosten 3. Jahr'!C16&gt;0,'Personalkosten 3. Jahr'!M16/12,0))</f>
        <v>0</v>
      </c>
      <c r="K70" s="54">
        <f>IF(Q70&gt;0,IF(Q70&lt;=Hilfstabelle!$K$68=AND(R70&gt;=Hilfstabelle!$K$68),'Personalkosten 3. Jahr'!M16/(R70-Q70+1),0),IF('Personalkosten 3. Jahr'!C16&gt;0,'Personalkosten 3. Jahr'!M16/12,0))</f>
        <v>0</v>
      </c>
      <c r="L70" s="54">
        <f>IF(Q70&gt;0,IF(Q70&lt;=Hilfstabelle!$L$68=AND(R70&gt;=Hilfstabelle!$L$68),'Personalkosten 3. Jahr'!M16/(R70-Q70+1),0),IF('Personalkosten 3. Jahr'!C16&gt;0,'Personalkosten 3. Jahr'!M16/12,0))</f>
        <v>0</v>
      </c>
      <c r="M70" s="54">
        <f>IF(Q70&gt;0,IF(Q70&lt;=Hilfstabelle!$M$68=AND(R70&gt;=Hilfstabelle!$M$68),'Personalkosten 3. Jahr'!M16/(R70-Q70+1),0),IF('Personalkosten 3. Jahr'!C16&gt;0,'Personalkosten 3. Jahr'!M16/12,0))</f>
        <v>0</v>
      </c>
      <c r="N70" s="55">
        <f>SUM(B70:M70)</f>
        <v>0</v>
      </c>
      <c r="O70" s="34"/>
      <c r="Q70" s="26">
        <f>IF('Personalkosten 3. Jahr'!D16="",1,IF(EOMONTH('Personalkosten 3. Jahr'!D16,0)=EOMONTH($R$67,0),1,IF(EOMONTH('Personalkosten 3. Jahr'!D16,0)=EOMONTH($R$67,1),2,IF(EOMONTH('Personalkosten 3. Jahr'!D16,0)=EOMONTH($R$67,2),3,IF(EOMONTH('Personalkosten 3. Jahr'!D16,0)=EOMONTH($R$67,3),4,IF(EOMONTH('Personalkosten 3. Jahr'!D16,0)=EOMONTH($R$67,4),5,IF(EOMONTH('Personalkosten 3. Jahr'!D16,0)=EOMONTH($R$67,5),6,IF(EOMONTH('Personalkosten 3. Jahr'!D16,0)=EOMONTH($R$67,6),7,IF(EOMONTH('Personalkosten 3. Jahr'!D16,0)=EOMONTH($R$67,7),8,IF(EOMONTH('Personalkosten 3. Jahr'!D16,0)=EOMONTH($R$67,8),9,IF(EOMONTH('Personalkosten 3. Jahr'!D16,0)=EOMONTH($R$67,9),10,IF(EOMONTH('Personalkosten 3. Jahr'!D16,0)=EOMONTH($R$67,10),11,IF(EOMONTH('Personalkosten 3. Jahr'!D16,0)=EOMONTH($R$67,11),12,"")))))))))))))</f>
        <v>1</v>
      </c>
      <c r="R70" s="26">
        <f>IF('Personalkosten 3. Jahr'!E16="",12,IF(EOMONTH('Personalkosten 3. Jahr'!E16,0)=EOMONTH($R$67,0),1,IF(EOMONTH('Personalkosten 3. Jahr'!E16,0)=EOMONTH($R$67,1),2,IF(EOMONTH('Personalkosten 3. Jahr'!E16,0)=EOMONTH($R$67,2),3,IF(EOMONTH('Personalkosten 3. Jahr'!E16,0)=EOMONTH($R$67,3),4,IF(EOMONTH('Personalkosten 3. Jahr'!E16,0)=EOMONTH($R$67,4),5,IF(EOMONTH('Personalkosten 3. Jahr'!E16,0)=EOMONTH($R$67,5),6,IF(EOMONTH('Personalkosten 3. Jahr'!E16,0)=EOMONTH($R$67,6),7,IF(EOMONTH('Personalkosten 3. Jahr'!E16,0)=EOMONTH($R$67,7),8,IF(EOMONTH('Personalkosten 3. Jahr'!E16,0)=EOMONTH($R$67,8),9,IF(EOMONTH('Personalkosten 3. Jahr'!E16,0)=EOMONTH($R$67,9),10,IF(EOMONTH('Personalkosten 3. Jahr'!E16,0)=EOMONTH($R$67,10),11,IF(EOMONTH('Personalkosten 3. Jahr'!E16,0)=EOMONTH($R$67,11),12,"")))))))))))))</f>
        <v>12</v>
      </c>
    </row>
    <row r="71" spans="1:18">
      <c r="A71" s="32">
        <v>3</v>
      </c>
      <c r="B71" s="54">
        <f>IF(Q71&gt;0,IF(Q71&lt;=Hilfstabelle!$B$68=AND(R71&gt;=Hilfstabelle!$B$68),'Personalkosten 3. Jahr'!M17/(R71-Q71+1),0),IF('Personalkosten 3. Jahr'!C17&gt;0,'Personalkosten 3. Jahr'!M17/12,0))</f>
        <v>0</v>
      </c>
      <c r="C71" s="54">
        <f>IF(Q71&gt;0,IF(Q71&lt;=Hilfstabelle!$C$68=AND(R71&gt;=Hilfstabelle!$C$68),'Personalkosten 3. Jahr'!M17/(R71-Q71+1),0),IF('Personalkosten 3. Jahr'!C17&gt;0,'Personalkosten 3. Jahr'!M17/12,0))</f>
        <v>0</v>
      </c>
      <c r="D71" s="54">
        <f>IF(Q71&gt;0,IF(Q71&lt;=Hilfstabelle!$D$68=AND(R71&gt;=Hilfstabelle!$D$68),'Personalkosten 3. Jahr'!M17/(R71-Q71+1),0),IF('Personalkosten 3. Jahr'!C17&gt;0,'Personalkosten 3. Jahr'!M17/12,0))</f>
        <v>0</v>
      </c>
      <c r="E71" s="54">
        <f>IF(Q71&gt;0,IF(Q71&lt;=Hilfstabelle!$E$68=AND(R71&gt;=Hilfstabelle!$E$68),'Personalkosten 3. Jahr'!M17/(R71-Q71+1),0),IF('Personalkosten 3. Jahr'!C17&gt;0,'Personalkosten 3. Jahr'!M17/12,0))</f>
        <v>0</v>
      </c>
      <c r="F71" s="54">
        <f>IF(Q71&gt;0,IF(Q71&lt;=Hilfstabelle!$F$68=AND(R71&gt;=Hilfstabelle!$F$68),'Personalkosten 3. Jahr'!M17/(R71-Q71+1),0),IF('Personalkosten 3. Jahr'!C17&gt;0,'Personalkosten 3. Jahr'!M17/12,0))</f>
        <v>0</v>
      </c>
      <c r="G71" s="54">
        <f>IF(Q71&gt;0,IF(Q71&lt;=Hilfstabelle!$G$68=AND(R71&gt;=Hilfstabelle!$G$68),'Personalkosten 3. Jahr'!M17/(R71-Q71+1),0),IF('Personalkosten 3. Jahr'!C17&gt;0,'Personalkosten 3. Jahr'!M17/12,0))</f>
        <v>0</v>
      </c>
      <c r="H71" s="54">
        <f>IF(Q71&gt;0,IF(Q71&lt;=Hilfstabelle!$H$68=AND(R71&gt;=Hilfstabelle!$H$68),'Personalkosten 3. Jahr'!M17/(R71-Q71+1),0),IF('Personalkosten 3. Jahr'!C17&gt;0,'Personalkosten 3. Jahr'!M17/12,0))</f>
        <v>0</v>
      </c>
      <c r="I71" s="54">
        <f>IF(Q71&gt;0,IF(Q71&lt;=Hilfstabelle!$I$68=AND(R71&gt;=Hilfstabelle!$I$68),'Personalkosten 3. Jahr'!M17/(R71-Q71+1),0),IF('Personalkosten 3. Jahr'!C17&gt;0,'Personalkosten 3. Jahr'!M17/12,0))</f>
        <v>0</v>
      </c>
      <c r="J71" s="54">
        <f>IF(Q71&gt;0,IF(Q71&lt;=Hilfstabelle!$J$68=AND(R71&gt;=Hilfstabelle!$J$68),'Personalkosten 3. Jahr'!M17/(R71-Q71+1),0),IF('Personalkosten 3. Jahr'!C17&gt;0,'Personalkosten 3. Jahr'!M17/12,0))</f>
        <v>0</v>
      </c>
      <c r="K71" s="54">
        <f>IF(Q71&gt;0,IF(Q71&lt;=Hilfstabelle!$K$68=AND(R71&gt;=Hilfstabelle!$K$68),'Personalkosten 3. Jahr'!M17/(R71-Q71+1),0),IF('Personalkosten 3. Jahr'!C17&gt;0,'Personalkosten 3. Jahr'!M17/12,0))</f>
        <v>0</v>
      </c>
      <c r="L71" s="54">
        <f>IF(Q71&gt;0,IF(Q71&lt;=Hilfstabelle!$L$68=AND(R71&gt;=Hilfstabelle!$L$68),'Personalkosten 3. Jahr'!M17/(R71-Q71+1),0),IF('Personalkosten 3. Jahr'!C17&gt;0,'Personalkosten 3. Jahr'!M17/12,0))</f>
        <v>0</v>
      </c>
      <c r="M71" s="54">
        <f>IF(Q71&gt;0,IF(Q71&lt;=Hilfstabelle!$M$68=AND(R71&gt;=Hilfstabelle!$M$68),'Personalkosten 3. Jahr'!M17/(R71-Q71+1),0),IF('Personalkosten 3. Jahr'!C17&gt;0,'Personalkosten 3. Jahr'!M17/12,0))</f>
        <v>0</v>
      </c>
      <c r="N71" s="55">
        <f>SUM(B71:M71)</f>
        <v>0</v>
      </c>
      <c r="O71" s="34"/>
      <c r="Q71" s="26">
        <f>IF('Personalkosten 3. Jahr'!D17="",1,IF(EOMONTH('Personalkosten 3. Jahr'!D17,0)=EOMONTH($R$67,0),1,IF(EOMONTH('Personalkosten 3. Jahr'!D17,0)=EOMONTH($R$67,1),2,IF(EOMONTH('Personalkosten 3. Jahr'!D17,0)=EOMONTH($R$67,2),3,IF(EOMONTH('Personalkosten 3. Jahr'!D17,0)=EOMONTH($R$67,3),4,IF(EOMONTH('Personalkosten 3. Jahr'!D17,0)=EOMONTH($R$67,4),5,IF(EOMONTH('Personalkosten 3. Jahr'!D17,0)=EOMONTH($R$67,5),6,IF(EOMONTH('Personalkosten 3. Jahr'!D17,0)=EOMONTH($R$67,6),7,IF(EOMONTH('Personalkosten 3. Jahr'!D17,0)=EOMONTH($R$67,7),8,IF(EOMONTH('Personalkosten 3. Jahr'!D17,0)=EOMONTH($R$67,8),9,IF(EOMONTH('Personalkosten 3. Jahr'!D17,0)=EOMONTH($R$67,9),10,IF(EOMONTH('Personalkosten 3. Jahr'!D17,0)=EOMONTH($R$67,10),11,IF(EOMONTH('Personalkosten 3. Jahr'!D17,0)=EOMONTH($R$67,11),12,"")))))))))))))</f>
        <v>1</v>
      </c>
      <c r="R71" s="26">
        <f>IF('Personalkosten 3. Jahr'!E17="",12,IF(EOMONTH('Personalkosten 3. Jahr'!E17,0)=EOMONTH($R$67,0),1,IF(EOMONTH('Personalkosten 3. Jahr'!E17,0)=EOMONTH($R$67,1),2,IF(EOMONTH('Personalkosten 3. Jahr'!E17,0)=EOMONTH($R$67,2),3,IF(EOMONTH('Personalkosten 3. Jahr'!E17,0)=EOMONTH($R$67,3),4,IF(EOMONTH('Personalkosten 3. Jahr'!E17,0)=EOMONTH($R$67,4),5,IF(EOMONTH('Personalkosten 3. Jahr'!E17,0)=EOMONTH($R$67,5),6,IF(EOMONTH('Personalkosten 3. Jahr'!E17,0)=EOMONTH($R$67,6),7,IF(EOMONTH('Personalkosten 3. Jahr'!E17,0)=EOMONTH($R$67,7),8,IF(EOMONTH('Personalkosten 3. Jahr'!E17,0)=EOMONTH($R$67,8),9,IF(EOMONTH('Personalkosten 3. Jahr'!E17,0)=EOMONTH($R$67,9),10,IF(EOMONTH('Personalkosten 3. Jahr'!E17,0)=EOMONTH($R$67,10),11,IF(EOMONTH('Personalkosten 3. Jahr'!E17,0)=EOMONTH($R$67,11),12,"")))))))))))))</f>
        <v>12</v>
      </c>
    </row>
    <row r="72" spans="1:18">
      <c r="A72" s="32">
        <v>4</v>
      </c>
      <c r="B72" s="54">
        <f>IF(Q72&gt;0,IF(Q72&lt;=Hilfstabelle!$B$68=AND(R72&gt;=Hilfstabelle!$B$68),'Personalkosten 3. Jahr'!M18/(R72-Q72+1),0),IF('Personalkosten 3. Jahr'!C18&gt;0,'Personalkosten 3. Jahr'!M18/12,0))</f>
        <v>0</v>
      </c>
      <c r="C72" s="54">
        <f>IF(Q72&gt;0,IF(Q72&lt;=Hilfstabelle!$C$68=AND(R72&gt;=Hilfstabelle!$C$68),'Personalkosten 3. Jahr'!M18/(R72-Q72+1),0),IF('Personalkosten 3. Jahr'!C18&gt;0,'Personalkosten 3. Jahr'!M18/12,0))</f>
        <v>0</v>
      </c>
      <c r="D72" s="54">
        <f>IF(Q72&gt;0,IF(Q72&lt;=Hilfstabelle!$D$68=AND(R72&gt;=Hilfstabelle!$D$68),'Personalkosten 3. Jahr'!M18/(R72-Q72+1),0),IF('Personalkosten 3. Jahr'!C18&gt;0,'Personalkosten 3. Jahr'!M18/12,0))</f>
        <v>0</v>
      </c>
      <c r="E72" s="54">
        <f>IF(Q72&gt;0,IF(Q72&lt;=Hilfstabelle!$E$68=AND(R72&gt;=Hilfstabelle!$E$68),'Personalkosten 3. Jahr'!M18/(R72-Q72+1),0),IF('Personalkosten 3. Jahr'!C18&gt;0,'Personalkosten 3. Jahr'!M18/12,0))</f>
        <v>0</v>
      </c>
      <c r="F72" s="54">
        <f>IF(Q72&gt;0,IF(Q72&lt;=Hilfstabelle!$F$68=AND(R72&gt;=Hilfstabelle!$F$68),'Personalkosten 3. Jahr'!M18/(R72-Q72+1),0),IF('Personalkosten 3. Jahr'!C18&gt;0,'Personalkosten 3. Jahr'!M18/12,0))</f>
        <v>0</v>
      </c>
      <c r="G72" s="54">
        <f>IF(Q72&gt;0,IF(Q72&lt;=Hilfstabelle!$G$68=AND(R72&gt;=Hilfstabelle!$G$68),'Personalkosten 3. Jahr'!M18/(R72-Q72+1),0),IF('Personalkosten 3. Jahr'!C18&gt;0,'Personalkosten 3. Jahr'!M18/12,0))</f>
        <v>0</v>
      </c>
      <c r="H72" s="54">
        <f>IF(Q72&gt;0,IF(Q72&lt;=Hilfstabelle!$H$68=AND(R72&gt;=Hilfstabelle!$H$68),'Personalkosten 3. Jahr'!M18/(R72-Q72+1),0),IF('Personalkosten 3. Jahr'!C18&gt;0,'Personalkosten 3. Jahr'!M18/12,0))</f>
        <v>0</v>
      </c>
      <c r="I72" s="54">
        <f>IF(Q72&gt;0,IF(Q72&lt;=Hilfstabelle!$I$68=AND(R72&gt;=Hilfstabelle!$I$68),'Personalkosten 3. Jahr'!M18/(R72-Q72+1),0),IF('Personalkosten 3. Jahr'!C18&gt;0,'Personalkosten 3. Jahr'!M18/12,0))</f>
        <v>0</v>
      </c>
      <c r="J72" s="54">
        <f>IF(Q72&gt;0,IF(Q72&lt;=Hilfstabelle!$J$68=AND(R72&gt;=Hilfstabelle!$J$68),'Personalkosten 3. Jahr'!M18/(R72-Q72+1),0),IF('Personalkosten 3. Jahr'!C18&gt;0,'Personalkosten 3. Jahr'!M18/12,0))</f>
        <v>0</v>
      </c>
      <c r="K72" s="54">
        <f>IF(Q72&gt;0,IF(Q72&lt;=Hilfstabelle!$K$68=AND(R72&gt;=Hilfstabelle!$K$68),'Personalkosten 3. Jahr'!M18/(R72-Q72+1),0),IF('Personalkosten 3. Jahr'!C18&gt;0,'Personalkosten 3. Jahr'!M18/12,0))</f>
        <v>0</v>
      </c>
      <c r="L72" s="54">
        <f>IF(Q72&gt;0,IF(Q72&lt;=Hilfstabelle!$L$68=AND(R72&gt;=Hilfstabelle!$L$68),'Personalkosten 3. Jahr'!M18/(R72-Q72+1),0),IF('Personalkosten 3. Jahr'!C18&gt;0,'Personalkosten 3. Jahr'!M18/12,0))</f>
        <v>0</v>
      </c>
      <c r="M72" s="54">
        <f>IF(Q72&gt;0,IF(Q72&lt;=Hilfstabelle!$M$68=AND(R72&gt;=Hilfstabelle!$M$68),'Personalkosten 3. Jahr'!M18/(R72-Q72+1),0),IF('Personalkosten 3. Jahr'!C18&gt;0,'Personalkosten 3. Jahr'!M18/12,0))</f>
        <v>0</v>
      </c>
      <c r="N72" s="55">
        <f>SUM(B72:M72)</f>
        <v>0</v>
      </c>
      <c r="O72" s="34"/>
      <c r="Q72" s="26">
        <f>IF('Personalkosten 3. Jahr'!D18="",1,IF(EOMONTH('Personalkosten 3. Jahr'!D18,0)=EOMONTH($R$67,0),1,IF(EOMONTH('Personalkosten 3. Jahr'!D18,0)=EOMONTH($R$67,1),2,IF(EOMONTH('Personalkosten 3. Jahr'!D18,0)=EOMONTH($R$67,2),3,IF(EOMONTH('Personalkosten 3. Jahr'!D18,0)=EOMONTH($R$67,3),4,IF(EOMONTH('Personalkosten 3. Jahr'!D18,0)=EOMONTH($R$67,4),5,IF(EOMONTH('Personalkosten 3. Jahr'!D18,0)=EOMONTH($R$67,5),6,IF(EOMONTH('Personalkosten 3. Jahr'!D18,0)=EOMONTH($R$67,6),7,IF(EOMONTH('Personalkosten 3. Jahr'!D18,0)=EOMONTH($R$67,7),8,IF(EOMONTH('Personalkosten 3. Jahr'!D18,0)=EOMONTH($R$67,8),9,IF(EOMONTH('Personalkosten 3. Jahr'!D18,0)=EOMONTH($R$67,9),10,IF(EOMONTH('Personalkosten 3. Jahr'!D18,0)=EOMONTH($R$67,10),11,IF(EOMONTH('Personalkosten 3. Jahr'!D18,0)=EOMONTH($R$67,11),12,"")))))))))))))</f>
        <v>1</v>
      </c>
      <c r="R72" s="26">
        <f>IF('Personalkosten 3. Jahr'!E18="",12,IF(EOMONTH('Personalkosten 3. Jahr'!E18,0)=EOMONTH($R$67,0),1,IF(EOMONTH('Personalkosten 3. Jahr'!E18,0)=EOMONTH($R$67,1),2,IF(EOMONTH('Personalkosten 3. Jahr'!E18,0)=EOMONTH($R$67,2),3,IF(EOMONTH('Personalkosten 3. Jahr'!E18,0)=EOMONTH($R$67,3),4,IF(EOMONTH('Personalkosten 3. Jahr'!E18,0)=EOMONTH($R$67,4),5,IF(EOMONTH('Personalkosten 3. Jahr'!E18,0)=EOMONTH($R$67,5),6,IF(EOMONTH('Personalkosten 3. Jahr'!E18,0)=EOMONTH($R$67,6),7,IF(EOMONTH('Personalkosten 3. Jahr'!E18,0)=EOMONTH($R$67,7),8,IF(EOMONTH('Personalkosten 3. Jahr'!E18,0)=EOMONTH($R$67,8),9,IF(EOMONTH('Personalkosten 3. Jahr'!E18,0)=EOMONTH($R$67,9),10,IF(EOMONTH('Personalkosten 3. Jahr'!E18,0)=EOMONTH($R$67,10),11,IF(EOMONTH('Personalkosten 3. Jahr'!E18,0)=EOMONTH($R$67,11),12,"")))))))))))))</f>
        <v>12</v>
      </c>
    </row>
    <row r="73" spans="1:18">
      <c r="A73" s="32">
        <v>5</v>
      </c>
      <c r="B73" s="54">
        <f>IF(Q73&gt;0,IF(Q73&lt;=Hilfstabelle!$B$68=AND(R73&gt;=Hilfstabelle!$B$68),'Personalkosten 3. Jahr'!M19/(R73-Q73+1),0),IF('Personalkosten 3. Jahr'!C19&gt;0,'Personalkosten 3. Jahr'!M19/12,0))</f>
        <v>0</v>
      </c>
      <c r="C73" s="54">
        <f>IF(Q73&gt;0,IF(Q73&lt;=Hilfstabelle!$C$68=AND(R73&gt;=Hilfstabelle!$C$68),'Personalkosten 3. Jahr'!M19/(R73-Q73+1),0),IF('Personalkosten 3. Jahr'!C19&gt;0,'Personalkosten 3. Jahr'!M19/12,0))</f>
        <v>0</v>
      </c>
      <c r="D73" s="54">
        <f>IF(Q73&gt;0,IF(Q73&lt;=Hilfstabelle!$D$68=AND(R73&gt;=Hilfstabelle!$D$68),'Personalkosten 3. Jahr'!M19/(R73-Q73+1),0),IF('Personalkosten 3. Jahr'!C19&gt;0,'Personalkosten 3. Jahr'!M19/12,0))</f>
        <v>0</v>
      </c>
      <c r="E73" s="54">
        <f>IF(Q73&gt;0,IF(Q73&lt;=Hilfstabelle!$E$68=AND(R73&gt;=Hilfstabelle!$E$68),'Personalkosten 3. Jahr'!M19/(R73-Q73+1),0),IF('Personalkosten 3. Jahr'!C19&gt;0,'Personalkosten 3. Jahr'!M19/12,0))</f>
        <v>0</v>
      </c>
      <c r="F73" s="54">
        <f>IF(Q73&gt;0,IF(Q73&lt;=Hilfstabelle!$F$68=AND(R73&gt;=Hilfstabelle!$F$68),'Personalkosten 3. Jahr'!M19/(R73-Q73+1),0),IF('Personalkosten 3. Jahr'!C19&gt;0,'Personalkosten 3. Jahr'!M19/12,0))</f>
        <v>0</v>
      </c>
      <c r="G73" s="54">
        <f>IF(Q73&gt;0,IF(Q73&lt;=Hilfstabelle!$G$68=AND(R73&gt;=Hilfstabelle!$G$68),'Personalkosten 3. Jahr'!M19/(R73-Q73+1),0),IF('Personalkosten 3. Jahr'!C19&gt;0,'Personalkosten 3. Jahr'!M19/12,0))</f>
        <v>0</v>
      </c>
      <c r="H73" s="54">
        <f>IF(Q73&gt;0,IF(Q73&lt;=Hilfstabelle!$H$68=AND(R73&gt;=Hilfstabelle!$H$68),'Personalkosten 3. Jahr'!M19/(R73-Q73+1),0),IF('Personalkosten 3. Jahr'!C19&gt;0,'Personalkosten 3. Jahr'!M19/12,0))</f>
        <v>0</v>
      </c>
      <c r="I73" s="54">
        <f>IF(Q73&gt;0,IF(Q73&lt;=Hilfstabelle!$I$68=AND(R73&gt;=Hilfstabelle!$I$68),'Personalkosten 3. Jahr'!M19/(R73-Q73+1),0),IF('Personalkosten 3. Jahr'!C19&gt;0,'Personalkosten 3. Jahr'!M19/12,0))</f>
        <v>0</v>
      </c>
      <c r="J73" s="54">
        <f>IF(Q73&gt;0,IF(Q73&lt;=Hilfstabelle!$J$68=AND(R73&gt;=Hilfstabelle!$J$68),'Personalkosten 3. Jahr'!M19/(R73-Q73+1),0),IF('Personalkosten 3. Jahr'!C19&gt;0,'Personalkosten 3. Jahr'!M19/12,0))</f>
        <v>0</v>
      </c>
      <c r="K73" s="54">
        <f>IF(Q73&gt;0,IF(Q73&lt;=Hilfstabelle!$K$68=AND(R73&gt;=Hilfstabelle!$K$68),'Personalkosten 3. Jahr'!M19/(R73-Q73+1),0),IF('Personalkosten 3. Jahr'!C19&gt;0,'Personalkosten 3. Jahr'!M19/12,0))</f>
        <v>0</v>
      </c>
      <c r="L73" s="54">
        <f>IF(Q73&gt;0,IF(Q73&lt;=Hilfstabelle!$L$68=AND(R73&gt;=Hilfstabelle!$L$68),'Personalkosten 3. Jahr'!M19/(R73-Q73+1),0),IF('Personalkosten 3. Jahr'!C19&gt;0,'Personalkosten 3. Jahr'!M19/12,0))</f>
        <v>0</v>
      </c>
      <c r="M73" s="54">
        <f>IF(Q73&gt;0,IF(Q73&lt;=Hilfstabelle!$M$68=AND(R73&gt;=Hilfstabelle!$M$68),'Personalkosten 3. Jahr'!M19/(R73-Q73+1),0),IF('Personalkosten 3. Jahr'!C19&gt;0,'Personalkosten 3. Jahr'!M19/12,0))</f>
        <v>0</v>
      </c>
      <c r="N73" s="55">
        <f>SUM(B73:M73)</f>
        <v>0</v>
      </c>
      <c r="O73" s="34"/>
      <c r="Q73" s="26">
        <f>IF('Personalkosten 3. Jahr'!D19="",1,IF(EOMONTH('Personalkosten 3. Jahr'!D19,0)=EOMONTH($R$67,0),1,IF(EOMONTH('Personalkosten 3. Jahr'!D19,0)=EOMONTH($R$67,1),2,IF(EOMONTH('Personalkosten 3. Jahr'!D19,0)=EOMONTH($R$67,2),3,IF(EOMONTH('Personalkosten 3. Jahr'!D19,0)=EOMONTH($R$67,3),4,IF(EOMONTH('Personalkosten 3. Jahr'!D19,0)=EOMONTH($R$67,4),5,IF(EOMONTH('Personalkosten 3. Jahr'!D19,0)=EOMONTH($R$67,5),6,IF(EOMONTH('Personalkosten 3. Jahr'!D19,0)=EOMONTH($R$67,6),7,IF(EOMONTH('Personalkosten 3. Jahr'!D19,0)=EOMONTH($R$67,7),8,IF(EOMONTH('Personalkosten 3. Jahr'!D19,0)=EOMONTH($R$67,8),9,IF(EOMONTH('Personalkosten 3. Jahr'!D19,0)=EOMONTH($R$67,9),10,IF(EOMONTH('Personalkosten 3. Jahr'!D19,0)=EOMONTH($R$67,10),11,IF(EOMONTH('Personalkosten 3. Jahr'!D19,0)=EOMONTH($R$67,11),12,"")))))))))))))</f>
        <v>1</v>
      </c>
      <c r="R73" s="26">
        <f>IF('Personalkosten 3. Jahr'!E19="",12,IF(EOMONTH('Personalkosten 3. Jahr'!E19,0)=EOMONTH($R$67,0),1,IF(EOMONTH('Personalkosten 3. Jahr'!E19,0)=EOMONTH($R$67,1),2,IF(EOMONTH('Personalkosten 3. Jahr'!E19,0)=EOMONTH($R$67,2),3,IF(EOMONTH('Personalkosten 3. Jahr'!E19,0)=EOMONTH($R$67,3),4,IF(EOMONTH('Personalkosten 3. Jahr'!E19,0)=EOMONTH($R$67,4),5,IF(EOMONTH('Personalkosten 3. Jahr'!E19,0)=EOMONTH($R$67,5),6,IF(EOMONTH('Personalkosten 3. Jahr'!E19,0)=EOMONTH($R$67,6),7,IF(EOMONTH('Personalkosten 3. Jahr'!E19,0)=EOMONTH($R$67,7),8,IF(EOMONTH('Personalkosten 3. Jahr'!E19,0)=EOMONTH($R$67,8),9,IF(EOMONTH('Personalkosten 3. Jahr'!E19,0)=EOMONTH($R$67,9),10,IF(EOMONTH('Personalkosten 3. Jahr'!E19,0)=EOMONTH($R$67,10),11,IF(EOMONTH('Personalkosten 3. Jahr'!E19,0)=EOMONTH($R$67,11),12,"")))))))))))))</f>
        <v>12</v>
      </c>
    </row>
    <row r="74" spans="1:18">
      <c r="A74" s="32">
        <v>6</v>
      </c>
      <c r="B74" s="54">
        <f>IF(Q74&gt;0,IF(Q74&lt;=Hilfstabelle!$B$68=AND(R74&gt;=Hilfstabelle!$B$68),'Personalkosten 3. Jahr'!M20/(R74-Q74+1),0),IF('Personalkosten 3. Jahr'!C20&gt;0,'Personalkosten 3. Jahr'!M20/12,0))</f>
        <v>0</v>
      </c>
      <c r="C74" s="54">
        <f>IF(Q74&gt;0,IF(Q74&lt;=Hilfstabelle!$C$68=AND(R74&gt;=Hilfstabelle!$C$68),'Personalkosten 3. Jahr'!M20/(R74-Q74+1),0),IF('Personalkosten 3. Jahr'!C20&gt;0,'Personalkosten 3. Jahr'!M20/12,0))</f>
        <v>0</v>
      </c>
      <c r="D74" s="54">
        <f>IF(Q74&gt;0,IF(Q74&lt;=Hilfstabelle!$D$68=AND(R74&gt;=Hilfstabelle!$D$68),'Personalkosten 3. Jahr'!M20/(R74-Q74+1),0),IF('Personalkosten 3. Jahr'!C20&gt;0,'Personalkosten 3. Jahr'!M20/12,0))</f>
        <v>0</v>
      </c>
      <c r="E74" s="54">
        <f>IF(Q74&gt;0,IF(Q74&lt;=Hilfstabelle!$E$68=AND(R74&gt;=Hilfstabelle!$E$68),'Personalkosten 3. Jahr'!M20/(R74-Q74+1),0),IF('Personalkosten 3. Jahr'!C20&gt;0,'Personalkosten 3. Jahr'!M20/12,0))</f>
        <v>0</v>
      </c>
      <c r="F74" s="54">
        <f>IF(Q74&gt;0,IF(Q74&lt;=Hilfstabelle!$F$68=AND(R74&gt;=Hilfstabelle!$F$68),'Personalkosten 3. Jahr'!M20/(R74-Q74+1),0),IF('Personalkosten 3. Jahr'!C20&gt;0,'Personalkosten 3. Jahr'!M20/12,0))</f>
        <v>0</v>
      </c>
      <c r="G74" s="54">
        <f>IF(Q74&gt;0,IF(Q74&lt;=Hilfstabelle!$G$68=AND(R74&gt;=Hilfstabelle!$G$68),'Personalkosten 3. Jahr'!M20/(R74-Q74+1),0),IF('Personalkosten 3. Jahr'!C20&gt;0,'Personalkosten 3. Jahr'!M20/12,0))</f>
        <v>0</v>
      </c>
      <c r="H74" s="54">
        <f>IF(Q74&gt;0,IF(Q74&lt;=Hilfstabelle!$H$68=AND(R74&gt;=Hilfstabelle!$H$68),'Personalkosten 3. Jahr'!M20/(R74-Q74+1),0),IF('Personalkosten 3. Jahr'!C20&gt;0,'Personalkosten 3. Jahr'!M20/12,0))</f>
        <v>0</v>
      </c>
      <c r="I74" s="54">
        <f>IF(Q74&gt;0,IF(Q74&lt;=Hilfstabelle!$I$68=AND(R74&gt;=Hilfstabelle!$I$68),'Personalkosten 3. Jahr'!M20/(R74-Q74+1),0),IF('Personalkosten 3. Jahr'!C20&gt;0,'Personalkosten 3. Jahr'!M20/12,0))</f>
        <v>0</v>
      </c>
      <c r="J74" s="54">
        <f>IF(Q74&gt;0,IF(Q74&lt;=Hilfstabelle!$J$68=AND(R74&gt;=Hilfstabelle!$J$68),'Personalkosten 3. Jahr'!M20/(R74-Q74+1),0),IF('Personalkosten 3. Jahr'!C20&gt;0,'Personalkosten 3. Jahr'!M20/12,0))</f>
        <v>0</v>
      </c>
      <c r="K74" s="54">
        <f>IF(Q74&gt;0,IF(Q74&lt;=Hilfstabelle!$K$68=AND(R74&gt;=Hilfstabelle!$K$68),'Personalkosten 3. Jahr'!M20/(R74-Q74+1),0),IF('Personalkosten 3. Jahr'!C20&gt;0,'Personalkosten 3. Jahr'!M20/12,0))</f>
        <v>0</v>
      </c>
      <c r="L74" s="54">
        <f>IF(Q74&gt;0,IF(Q74&lt;=Hilfstabelle!$L$68=AND(R74&gt;=Hilfstabelle!$L$68),'Personalkosten 3. Jahr'!M20/(R74-Q74+1),0),IF('Personalkosten 3. Jahr'!C20&gt;0,'Personalkosten 3. Jahr'!M20/12,0))</f>
        <v>0</v>
      </c>
      <c r="M74" s="54">
        <f>IF(Q74&gt;0,IF(Q74&lt;=Hilfstabelle!$M$68=AND(R74&gt;=Hilfstabelle!$M$68),'Personalkosten 3. Jahr'!M20/(R74-Q74+1),0),IF('Personalkosten 3. Jahr'!C20&gt;0,'Personalkosten 3. Jahr'!M20/12,0))</f>
        <v>0</v>
      </c>
      <c r="N74" s="55">
        <f t="shared" ref="N74:N85" si="8">SUM(B74:M74)</f>
        <v>0</v>
      </c>
      <c r="O74" s="34"/>
      <c r="Q74" s="26">
        <f>IF('Personalkosten 3. Jahr'!D20="",1,IF(EOMONTH('Personalkosten 3. Jahr'!D20,0)=EOMONTH($R$67,0),1,IF(EOMONTH('Personalkosten 3. Jahr'!D20,0)=EOMONTH($R$67,1),2,IF(EOMONTH('Personalkosten 3. Jahr'!D20,0)=EOMONTH($R$67,2),3,IF(EOMONTH('Personalkosten 3. Jahr'!D20,0)=EOMONTH($R$67,3),4,IF(EOMONTH('Personalkosten 3. Jahr'!D20,0)=EOMONTH($R$67,4),5,IF(EOMONTH('Personalkosten 3. Jahr'!D20,0)=EOMONTH($R$67,5),6,IF(EOMONTH('Personalkosten 3. Jahr'!D20,0)=EOMONTH($R$67,6),7,IF(EOMONTH('Personalkosten 3. Jahr'!D20,0)=EOMONTH($R$67,7),8,IF(EOMONTH('Personalkosten 3. Jahr'!D20,0)=EOMONTH($R$67,8),9,IF(EOMONTH('Personalkosten 3. Jahr'!D20,0)=EOMONTH($R$67,9),10,IF(EOMONTH('Personalkosten 3. Jahr'!D20,0)=EOMONTH($R$67,10),11,IF(EOMONTH('Personalkosten 3. Jahr'!D20,0)=EOMONTH($R$67,11),12,"")))))))))))))</f>
        <v>1</v>
      </c>
      <c r="R74" s="26">
        <f>IF('Personalkosten 3. Jahr'!E20="",12,IF(EOMONTH('Personalkosten 3. Jahr'!E20,0)=EOMONTH($R$67,0),1,IF(EOMONTH('Personalkosten 3. Jahr'!E20,0)=EOMONTH($R$67,1),2,IF(EOMONTH('Personalkosten 3. Jahr'!E20,0)=EOMONTH($R$67,2),3,IF(EOMONTH('Personalkosten 3. Jahr'!E20,0)=EOMONTH($R$67,3),4,IF(EOMONTH('Personalkosten 3. Jahr'!E20,0)=EOMONTH($R$67,4),5,IF(EOMONTH('Personalkosten 3. Jahr'!E20,0)=EOMONTH($R$67,5),6,IF(EOMONTH('Personalkosten 3. Jahr'!E20,0)=EOMONTH($R$67,6),7,IF(EOMONTH('Personalkosten 3. Jahr'!E20,0)=EOMONTH($R$67,7),8,IF(EOMONTH('Personalkosten 3. Jahr'!E20,0)=EOMONTH($R$67,8),9,IF(EOMONTH('Personalkosten 3. Jahr'!E20,0)=EOMONTH($R$67,9),10,IF(EOMONTH('Personalkosten 3. Jahr'!E20,0)=EOMONTH($R$67,10),11,IF(EOMONTH('Personalkosten 3. Jahr'!E20,0)=EOMONTH($R$67,11),12,"")))))))))))))</f>
        <v>12</v>
      </c>
    </row>
    <row r="75" spans="1:18">
      <c r="A75" s="32">
        <v>7</v>
      </c>
      <c r="B75" s="54">
        <f>IF(Q75&gt;0,IF(Q75&lt;=Hilfstabelle!$B$68=AND(R75&gt;=Hilfstabelle!$B$68),'Personalkosten 3. Jahr'!M21/(R75-Q75+1),0),IF('Personalkosten 3. Jahr'!C21&gt;0,'Personalkosten 3. Jahr'!M21/12,0))</f>
        <v>0</v>
      </c>
      <c r="C75" s="54">
        <f>IF(Q75&gt;0,IF(Q75&lt;=Hilfstabelle!$C$68=AND(R75&gt;=Hilfstabelle!$C$68),'Personalkosten 3. Jahr'!M21/(R75-Q75+1),0),IF('Personalkosten 3. Jahr'!C21&gt;0,'Personalkosten 3. Jahr'!M21/12,0))</f>
        <v>0</v>
      </c>
      <c r="D75" s="54">
        <f>IF(Q75&gt;0,IF(Q75&lt;=Hilfstabelle!$D$68=AND(R75&gt;=Hilfstabelle!$D$68),'Personalkosten 3. Jahr'!M21/(R75-Q75+1),0),IF('Personalkosten 3. Jahr'!C21&gt;0,'Personalkosten 3. Jahr'!M21/12,0))</f>
        <v>0</v>
      </c>
      <c r="E75" s="54">
        <f>IF(Q75&gt;0,IF(Q75&lt;=Hilfstabelle!$E$68=AND(R75&gt;=Hilfstabelle!$E$68),'Personalkosten 3. Jahr'!M21/(R75-Q75+1),0),IF('Personalkosten 3. Jahr'!C21&gt;0,'Personalkosten 3. Jahr'!M21/12,0))</f>
        <v>0</v>
      </c>
      <c r="F75" s="54">
        <f>IF(Q75&gt;0,IF(Q75&lt;=Hilfstabelle!$F$68=AND(R75&gt;=Hilfstabelle!$F$68),'Personalkosten 3. Jahr'!M21/(R75-Q75+1),0),IF('Personalkosten 3. Jahr'!C21&gt;0,'Personalkosten 3. Jahr'!M21/12,0))</f>
        <v>0</v>
      </c>
      <c r="G75" s="54">
        <f>IF(Q75&gt;0,IF(Q75&lt;=Hilfstabelle!$G$68=AND(R75&gt;=Hilfstabelle!$G$68),'Personalkosten 3. Jahr'!M21/(R75-Q75+1),0),IF('Personalkosten 3. Jahr'!C21&gt;0,'Personalkosten 3. Jahr'!M21/12,0))</f>
        <v>0</v>
      </c>
      <c r="H75" s="54">
        <f>IF(Q75&gt;0,IF(Q75&lt;=Hilfstabelle!$H$68=AND(R75&gt;=Hilfstabelle!$H$68),'Personalkosten 3. Jahr'!M21/(R75-Q75+1),0),IF('Personalkosten 3. Jahr'!C21&gt;0,'Personalkosten 3. Jahr'!M21/12,0))</f>
        <v>0</v>
      </c>
      <c r="I75" s="54">
        <f>IF(Q75&gt;0,IF(Q75&lt;=Hilfstabelle!$I$68=AND(R75&gt;=Hilfstabelle!$I$68),'Personalkosten 3. Jahr'!M21/(R75-Q75+1),0),IF('Personalkosten 3. Jahr'!C21&gt;0,'Personalkosten 3. Jahr'!M21/12,0))</f>
        <v>0</v>
      </c>
      <c r="J75" s="54">
        <f>IF(Q75&gt;0,IF(Q75&lt;=Hilfstabelle!$J$68=AND(R75&gt;=Hilfstabelle!$J$68),'Personalkosten 3. Jahr'!M21/(R75-Q75+1),0),IF('Personalkosten 3. Jahr'!C21&gt;0,'Personalkosten 3. Jahr'!M21/12,0))</f>
        <v>0</v>
      </c>
      <c r="K75" s="54">
        <f>IF(Q75&gt;0,IF(Q75&lt;=Hilfstabelle!$K$68=AND(R75&gt;=Hilfstabelle!$K$68),'Personalkosten 3. Jahr'!M21/(R75-Q75+1),0),IF('Personalkosten 3. Jahr'!C21&gt;0,'Personalkosten 3. Jahr'!M21/12,0))</f>
        <v>0</v>
      </c>
      <c r="L75" s="54">
        <f>IF(Q75&gt;0,IF(Q75&lt;=Hilfstabelle!$L$68=AND(R75&gt;=Hilfstabelle!$L$68),'Personalkosten 3. Jahr'!M21/(R75-Q75+1),0),IF('Personalkosten 3. Jahr'!C21&gt;0,'Personalkosten 3. Jahr'!M21/12,0))</f>
        <v>0</v>
      </c>
      <c r="M75" s="54">
        <f>IF(Q75&gt;0,IF(Q75&lt;=Hilfstabelle!$M$68=AND(R75&gt;=Hilfstabelle!$M$68),'Personalkosten 3. Jahr'!M21/(R75-Q75+1),0),IF('Personalkosten 3. Jahr'!C21&gt;0,'Personalkosten 3. Jahr'!M21/12,0))</f>
        <v>0</v>
      </c>
      <c r="N75" s="55">
        <f t="shared" si="8"/>
        <v>0</v>
      </c>
      <c r="O75" s="34"/>
      <c r="Q75" s="26">
        <f>IF('Personalkosten 3. Jahr'!D21="",1,IF(EOMONTH('Personalkosten 3. Jahr'!D21,0)=EOMONTH($R$67,0),1,IF(EOMONTH('Personalkosten 3. Jahr'!D21,0)=EOMONTH($R$67,1),2,IF(EOMONTH('Personalkosten 3. Jahr'!D21,0)=EOMONTH($R$67,2),3,IF(EOMONTH('Personalkosten 3. Jahr'!D21,0)=EOMONTH($R$67,3),4,IF(EOMONTH('Personalkosten 3. Jahr'!D21,0)=EOMONTH($R$67,4),5,IF(EOMONTH('Personalkosten 3. Jahr'!D21,0)=EOMONTH($R$67,5),6,IF(EOMONTH('Personalkosten 3. Jahr'!D21,0)=EOMONTH($R$67,6),7,IF(EOMONTH('Personalkosten 3. Jahr'!D21,0)=EOMONTH($R$67,7),8,IF(EOMONTH('Personalkosten 3. Jahr'!D21,0)=EOMONTH($R$67,8),9,IF(EOMONTH('Personalkosten 3. Jahr'!D21,0)=EOMONTH($R$67,9),10,IF(EOMONTH('Personalkosten 3. Jahr'!D21,0)=EOMONTH($R$67,10),11,IF(EOMONTH('Personalkosten 3. Jahr'!D21,0)=EOMONTH($R$67,11),12,"")))))))))))))</f>
        <v>1</v>
      </c>
      <c r="R75" s="26">
        <f>IF('Personalkosten 3. Jahr'!E21="",12,IF(EOMONTH('Personalkosten 3. Jahr'!E21,0)=EOMONTH($R$67,0),1,IF(EOMONTH('Personalkosten 3. Jahr'!E21,0)=EOMONTH($R$67,1),2,IF(EOMONTH('Personalkosten 3. Jahr'!E21,0)=EOMONTH($R$67,2),3,IF(EOMONTH('Personalkosten 3. Jahr'!E21,0)=EOMONTH($R$67,3),4,IF(EOMONTH('Personalkosten 3. Jahr'!E21,0)=EOMONTH($R$67,4),5,IF(EOMONTH('Personalkosten 3. Jahr'!E21,0)=EOMONTH($R$67,5),6,IF(EOMONTH('Personalkosten 3. Jahr'!E21,0)=EOMONTH($R$67,6),7,IF(EOMONTH('Personalkosten 3. Jahr'!E21,0)=EOMONTH($R$67,7),8,IF(EOMONTH('Personalkosten 3. Jahr'!E21,0)=EOMONTH($R$67,8),9,IF(EOMONTH('Personalkosten 3. Jahr'!E21,0)=EOMONTH($R$67,9),10,IF(EOMONTH('Personalkosten 3. Jahr'!E21,0)=EOMONTH($R$67,10),11,IF(EOMONTH('Personalkosten 3. Jahr'!E21,0)=EOMONTH($R$67,11),12,"")))))))))))))</f>
        <v>12</v>
      </c>
    </row>
    <row r="76" spans="1:18">
      <c r="A76" s="32">
        <v>8</v>
      </c>
      <c r="B76" s="54">
        <f>IF(Q76&gt;0,IF(Q76&lt;=Hilfstabelle!$B$68=AND(R76&gt;=Hilfstabelle!$B$68),'Personalkosten 3. Jahr'!M22/(R76-Q76+1),0),IF('Personalkosten 3. Jahr'!C22&gt;0,'Personalkosten 3. Jahr'!M22/12,0))</f>
        <v>0</v>
      </c>
      <c r="C76" s="54">
        <f>IF(Q76&gt;0,IF(Q76&lt;=Hilfstabelle!$C$68=AND(R76&gt;=Hilfstabelle!$C$68),'Personalkosten 3. Jahr'!M22/(R76-Q76+1),0),IF('Personalkosten 3. Jahr'!C22&gt;0,'Personalkosten 3. Jahr'!M22/12,0))</f>
        <v>0</v>
      </c>
      <c r="D76" s="54">
        <f>IF(Q76&gt;0,IF(Q76&lt;=Hilfstabelle!$D$68=AND(R76&gt;=Hilfstabelle!$D$68),'Personalkosten 3. Jahr'!M22/(R76-Q76+1),0),IF('Personalkosten 3. Jahr'!C22&gt;0,'Personalkosten 3. Jahr'!M22/12,0))</f>
        <v>0</v>
      </c>
      <c r="E76" s="54">
        <f>IF(Q76&gt;0,IF(Q76&lt;=Hilfstabelle!$E$68=AND(R76&gt;=Hilfstabelle!$E$68),'Personalkosten 3. Jahr'!M22/(R76-Q76+1),0),IF('Personalkosten 3. Jahr'!C22&gt;0,'Personalkosten 3. Jahr'!M22/12,0))</f>
        <v>0</v>
      </c>
      <c r="F76" s="54">
        <f>IF(Q76&gt;0,IF(Q76&lt;=Hilfstabelle!$F$68=AND(R76&gt;=Hilfstabelle!$F$68),'Personalkosten 3. Jahr'!M22/(R76-Q76+1),0),IF('Personalkosten 3. Jahr'!C22&gt;0,'Personalkosten 3. Jahr'!M22/12,0))</f>
        <v>0</v>
      </c>
      <c r="G76" s="54">
        <f>IF(Q76&gt;0,IF(Q76&lt;=Hilfstabelle!$G$68=AND(R76&gt;=Hilfstabelle!$G$68),'Personalkosten 3. Jahr'!M22/(R76-Q76+1),0),IF('Personalkosten 3. Jahr'!C22&gt;0,'Personalkosten 3. Jahr'!M22/12,0))</f>
        <v>0</v>
      </c>
      <c r="H76" s="54">
        <f>IF(Q76&gt;0,IF(Q76&lt;=Hilfstabelle!$H$68=AND(R76&gt;=Hilfstabelle!$H$68),'Personalkosten 3. Jahr'!M22/(R76-Q76+1),0),IF('Personalkosten 3. Jahr'!C22&gt;0,'Personalkosten 3. Jahr'!M22/12,0))</f>
        <v>0</v>
      </c>
      <c r="I76" s="54">
        <f>IF(Q76&gt;0,IF(Q76&lt;=Hilfstabelle!$I$68=AND(R76&gt;=Hilfstabelle!$I$68),'Personalkosten 3. Jahr'!M22/(R76-Q76+1),0),IF('Personalkosten 3. Jahr'!C22&gt;0,'Personalkosten 3. Jahr'!M22/12,0))</f>
        <v>0</v>
      </c>
      <c r="J76" s="54">
        <f>IF(Q76&gt;0,IF(Q76&lt;=Hilfstabelle!$J$68=AND(R76&gt;=Hilfstabelle!$J$68),'Personalkosten 3. Jahr'!M22/(R76-Q76+1),0),IF('Personalkosten 3. Jahr'!C22&gt;0,'Personalkosten 3. Jahr'!M22/12,0))</f>
        <v>0</v>
      </c>
      <c r="K76" s="54">
        <f>IF(Q76&gt;0,IF(Q76&lt;=Hilfstabelle!$K$68=AND(R76&gt;=Hilfstabelle!$K$68),'Personalkosten 3. Jahr'!M22/(R76-Q76+1),0),IF('Personalkosten 3. Jahr'!C22&gt;0,'Personalkosten 3. Jahr'!M22/12,0))</f>
        <v>0</v>
      </c>
      <c r="L76" s="54">
        <f>IF(Q76&gt;0,IF(Q76&lt;=Hilfstabelle!$L$68=AND(R76&gt;=Hilfstabelle!$L$68),'Personalkosten 3. Jahr'!M22/(R76-Q76+1),0),IF('Personalkosten 3. Jahr'!C22&gt;0,'Personalkosten 3. Jahr'!M22/12,0))</f>
        <v>0</v>
      </c>
      <c r="M76" s="54">
        <f>IF(Q76&gt;0,IF(Q76&lt;=Hilfstabelle!$M$68=AND(R76&gt;=Hilfstabelle!$M$68),'Personalkosten 3. Jahr'!M22/(R76-Q76+1),0),IF('Personalkosten 3. Jahr'!C22&gt;0,'Personalkosten 3. Jahr'!M22/12,0))</f>
        <v>0</v>
      </c>
      <c r="N76" s="55">
        <f t="shared" si="8"/>
        <v>0</v>
      </c>
      <c r="O76" s="34"/>
      <c r="Q76" s="26">
        <f>IF('Personalkosten 3. Jahr'!D22="",1,IF(EOMONTH('Personalkosten 3. Jahr'!D22,0)=EOMONTH($R$67,0),1,IF(EOMONTH('Personalkosten 3. Jahr'!D22,0)=EOMONTH($R$67,1),2,IF(EOMONTH('Personalkosten 3. Jahr'!D22,0)=EOMONTH($R$67,2),3,IF(EOMONTH('Personalkosten 3. Jahr'!D22,0)=EOMONTH($R$67,3),4,IF(EOMONTH('Personalkosten 3. Jahr'!D22,0)=EOMONTH($R$67,4),5,IF(EOMONTH('Personalkosten 3. Jahr'!D22,0)=EOMONTH($R$67,5),6,IF(EOMONTH('Personalkosten 3. Jahr'!D22,0)=EOMONTH($R$67,6),7,IF(EOMONTH('Personalkosten 3. Jahr'!D22,0)=EOMONTH($R$67,7),8,IF(EOMONTH('Personalkosten 3. Jahr'!D22,0)=EOMONTH($R$67,8),9,IF(EOMONTH('Personalkosten 3. Jahr'!D22,0)=EOMONTH($R$67,9),10,IF(EOMONTH('Personalkosten 3. Jahr'!D22,0)=EOMONTH($R$67,10),11,IF(EOMONTH('Personalkosten 3. Jahr'!D22,0)=EOMONTH($R$67,11),12,"")))))))))))))</f>
        <v>1</v>
      </c>
      <c r="R76" s="26">
        <f>IF('Personalkosten 3. Jahr'!E22="",12,IF(EOMONTH('Personalkosten 3. Jahr'!E22,0)=EOMONTH($R$67,0),1,IF(EOMONTH('Personalkosten 3. Jahr'!E22,0)=EOMONTH($R$67,1),2,IF(EOMONTH('Personalkosten 3. Jahr'!E22,0)=EOMONTH($R$67,2),3,IF(EOMONTH('Personalkosten 3. Jahr'!E22,0)=EOMONTH($R$67,3),4,IF(EOMONTH('Personalkosten 3. Jahr'!E22,0)=EOMONTH($R$67,4),5,IF(EOMONTH('Personalkosten 3. Jahr'!E22,0)=EOMONTH($R$67,5),6,IF(EOMONTH('Personalkosten 3. Jahr'!E22,0)=EOMONTH($R$67,6),7,IF(EOMONTH('Personalkosten 3. Jahr'!E22,0)=EOMONTH($R$67,7),8,IF(EOMONTH('Personalkosten 3. Jahr'!E22,0)=EOMONTH($R$67,8),9,IF(EOMONTH('Personalkosten 3. Jahr'!E22,0)=EOMONTH($R$67,9),10,IF(EOMONTH('Personalkosten 3. Jahr'!E22,0)=EOMONTH($R$67,10),11,IF(EOMONTH('Personalkosten 3. Jahr'!E22,0)=EOMONTH($R$67,11),12,"")))))))))))))</f>
        <v>12</v>
      </c>
    </row>
    <row r="77" spans="1:18">
      <c r="A77" s="32">
        <v>9</v>
      </c>
      <c r="B77" s="54">
        <f>IF(Q77&gt;0,IF(Q77&lt;=Hilfstabelle!$B$68=AND(R77&gt;=Hilfstabelle!$B$68),'Personalkosten 3. Jahr'!M23/(R77-Q77+1),0),IF('Personalkosten 3. Jahr'!C23&gt;0,'Personalkosten 3. Jahr'!M23/12,0))</f>
        <v>0</v>
      </c>
      <c r="C77" s="54">
        <f>IF(Q77&gt;0,IF(Q77&lt;=Hilfstabelle!$C$68=AND(R77&gt;=Hilfstabelle!$C$68),'Personalkosten 3. Jahr'!M23/(R77-Q77+1),0),IF('Personalkosten 3. Jahr'!C23&gt;0,'Personalkosten 3. Jahr'!M23/12,0))</f>
        <v>0</v>
      </c>
      <c r="D77" s="54">
        <f>IF(Q77&gt;0,IF(Q77&lt;=Hilfstabelle!$D$68=AND(R77&gt;=Hilfstabelle!$D$68),'Personalkosten 3. Jahr'!M23/(R77-Q77+1),0),IF('Personalkosten 3. Jahr'!C23&gt;0,'Personalkosten 3. Jahr'!M23/12,0))</f>
        <v>0</v>
      </c>
      <c r="E77" s="54">
        <f>IF(Q77&gt;0,IF(Q77&lt;=Hilfstabelle!$E$68=AND(R77&gt;=Hilfstabelle!$E$68),'Personalkosten 3. Jahr'!M23/(R77-Q77+1),0),IF('Personalkosten 3. Jahr'!C23&gt;0,'Personalkosten 3. Jahr'!M23/12,0))</f>
        <v>0</v>
      </c>
      <c r="F77" s="54">
        <f>IF(Q77&gt;0,IF(Q77&lt;=Hilfstabelle!$F$68=AND(R77&gt;=Hilfstabelle!$F$68),'Personalkosten 3. Jahr'!M23/(R77-Q77+1),0),IF('Personalkosten 3. Jahr'!C23&gt;0,'Personalkosten 3. Jahr'!M23/12,0))</f>
        <v>0</v>
      </c>
      <c r="G77" s="54">
        <f>IF(Q77&gt;0,IF(Q77&lt;=Hilfstabelle!$G$68=AND(R77&gt;=Hilfstabelle!$G$68),'Personalkosten 3. Jahr'!M23/(R77-Q77+1),0),IF('Personalkosten 3. Jahr'!C23&gt;0,'Personalkosten 3. Jahr'!M23/12,0))</f>
        <v>0</v>
      </c>
      <c r="H77" s="54">
        <f>IF(Q77&gt;0,IF(Q77&lt;=Hilfstabelle!$H$68=AND(R77&gt;=Hilfstabelle!$H$68),'Personalkosten 3. Jahr'!M23/(R77-Q77+1),0),IF('Personalkosten 3. Jahr'!C23&gt;0,'Personalkosten 3. Jahr'!M23/12,0))</f>
        <v>0</v>
      </c>
      <c r="I77" s="54">
        <f>IF(Q77&gt;0,IF(Q77&lt;=Hilfstabelle!$I$68=AND(R77&gt;=Hilfstabelle!$I$68),'Personalkosten 3. Jahr'!M23/(R77-Q77+1),0),IF('Personalkosten 3. Jahr'!C23&gt;0,'Personalkosten 3. Jahr'!M23/12,0))</f>
        <v>0</v>
      </c>
      <c r="J77" s="54">
        <f>IF(Q77&gt;0,IF(Q77&lt;=Hilfstabelle!$J$68=AND(R77&gt;=Hilfstabelle!$J$68),'Personalkosten 3. Jahr'!M23/(R77-Q77+1),0),IF('Personalkosten 3. Jahr'!C23&gt;0,'Personalkosten 3. Jahr'!M23/12,0))</f>
        <v>0</v>
      </c>
      <c r="K77" s="54">
        <f>IF(Q77&gt;0,IF(Q77&lt;=Hilfstabelle!$K$68=AND(R77&gt;=Hilfstabelle!$K$68),'Personalkosten 3. Jahr'!M23/(R77-Q77+1),0),IF('Personalkosten 3. Jahr'!C23&gt;0,'Personalkosten 3. Jahr'!M23/12,0))</f>
        <v>0</v>
      </c>
      <c r="L77" s="54">
        <f>IF(Q77&gt;0,IF(Q77&lt;=Hilfstabelle!$L$68=AND(R77&gt;=Hilfstabelle!$L$68),'Personalkosten 3. Jahr'!M23/(R77-Q77+1),0),IF('Personalkosten 3. Jahr'!C23&gt;0,'Personalkosten 3. Jahr'!M23/12,0))</f>
        <v>0</v>
      </c>
      <c r="M77" s="54">
        <f>IF(Q77&gt;0,IF(Q77&lt;=Hilfstabelle!$M$68=AND(R77&gt;=Hilfstabelle!$M$68),'Personalkosten 3. Jahr'!M23/(R77-Q77+1),0),IF('Personalkosten 3. Jahr'!C23&gt;0,'Personalkosten 3. Jahr'!M23/12,0))</f>
        <v>0</v>
      </c>
      <c r="N77" s="55">
        <f t="shared" si="8"/>
        <v>0</v>
      </c>
      <c r="O77" s="34"/>
      <c r="Q77" s="26">
        <f>IF('Personalkosten 3. Jahr'!D23="",1,IF(EOMONTH('Personalkosten 3. Jahr'!D23,0)=EOMONTH($R$67,0),1,IF(EOMONTH('Personalkosten 3. Jahr'!D23,0)=EOMONTH($R$67,1),2,IF(EOMONTH('Personalkosten 3. Jahr'!D23,0)=EOMONTH($R$67,2),3,IF(EOMONTH('Personalkosten 3. Jahr'!D23,0)=EOMONTH($R$67,3),4,IF(EOMONTH('Personalkosten 3. Jahr'!D23,0)=EOMONTH($R$67,4),5,IF(EOMONTH('Personalkosten 3. Jahr'!D23,0)=EOMONTH($R$67,5),6,IF(EOMONTH('Personalkosten 3. Jahr'!D23,0)=EOMONTH($R$67,6),7,IF(EOMONTH('Personalkosten 3. Jahr'!D23,0)=EOMONTH($R$67,7),8,IF(EOMONTH('Personalkosten 3. Jahr'!D23,0)=EOMONTH($R$67,8),9,IF(EOMONTH('Personalkosten 3. Jahr'!D23,0)=EOMONTH($R$67,9),10,IF(EOMONTH('Personalkosten 3. Jahr'!D23,0)=EOMONTH($R$67,10),11,IF(EOMONTH('Personalkosten 3. Jahr'!D23,0)=EOMONTH($R$67,11),12,"")))))))))))))</f>
        <v>1</v>
      </c>
      <c r="R77" s="26">
        <f>IF('Personalkosten 3. Jahr'!E23="",12,IF(EOMONTH('Personalkosten 3. Jahr'!E23,0)=EOMONTH($R$67,0),1,IF(EOMONTH('Personalkosten 3. Jahr'!E23,0)=EOMONTH($R$67,1),2,IF(EOMONTH('Personalkosten 3. Jahr'!E23,0)=EOMONTH($R$67,2),3,IF(EOMONTH('Personalkosten 3. Jahr'!E23,0)=EOMONTH($R$67,3),4,IF(EOMONTH('Personalkosten 3. Jahr'!E23,0)=EOMONTH($R$67,4),5,IF(EOMONTH('Personalkosten 3. Jahr'!E23,0)=EOMONTH($R$67,5),6,IF(EOMONTH('Personalkosten 3. Jahr'!E23,0)=EOMONTH($R$67,6),7,IF(EOMONTH('Personalkosten 3. Jahr'!E23,0)=EOMONTH($R$67,7),8,IF(EOMONTH('Personalkosten 3. Jahr'!E23,0)=EOMONTH($R$67,8),9,IF(EOMONTH('Personalkosten 3. Jahr'!E23,0)=EOMONTH($R$67,9),10,IF(EOMONTH('Personalkosten 3. Jahr'!E23,0)=EOMONTH($R$67,10),11,IF(EOMONTH('Personalkosten 3. Jahr'!E23,0)=EOMONTH($R$67,11),12,"")))))))))))))</f>
        <v>12</v>
      </c>
    </row>
    <row r="78" spans="1:18">
      <c r="A78" s="32">
        <v>10</v>
      </c>
      <c r="B78" s="54">
        <f>IF(Q78&gt;0,IF(Q78&lt;=Hilfstabelle!$B$68=AND(R78&gt;=Hilfstabelle!$B$68),'Personalkosten 3. Jahr'!M24/(R78-Q78+1),0),IF('Personalkosten 3. Jahr'!C24&gt;0,'Personalkosten 3. Jahr'!M24/12,0))</f>
        <v>0</v>
      </c>
      <c r="C78" s="54">
        <f>IF(Q78&gt;0,IF(Q78&lt;=Hilfstabelle!$C$68=AND(R78&gt;=Hilfstabelle!$C$68),'Personalkosten 3. Jahr'!M24/(R78-Q78+1),0),IF('Personalkosten 3. Jahr'!C24&gt;0,'Personalkosten 3. Jahr'!M24/12,0))</f>
        <v>0</v>
      </c>
      <c r="D78" s="54">
        <f>IF(Q78&gt;0,IF(Q78&lt;=Hilfstabelle!$D$68=AND(R78&gt;=Hilfstabelle!$D$68),'Personalkosten 3. Jahr'!M24/(R78-Q78+1),0),IF('Personalkosten 3. Jahr'!C24&gt;0,'Personalkosten 3. Jahr'!M24/12,0))</f>
        <v>0</v>
      </c>
      <c r="E78" s="54">
        <f>IF(Q78&gt;0,IF(Q78&lt;=Hilfstabelle!$E$68=AND(R78&gt;=Hilfstabelle!$E$68),'Personalkosten 3. Jahr'!M24/(R78-Q78+1),0),IF('Personalkosten 3. Jahr'!C24&gt;0,'Personalkosten 3. Jahr'!M24/12,0))</f>
        <v>0</v>
      </c>
      <c r="F78" s="54">
        <f>IF(Q78&gt;0,IF(Q78&lt;=Hilfstabelle!$F$68=AND(R78&gt;=Hilfstabelle!$F$68),'Personalkosten 3. Jahr'!M24/(R78-Q78+1),0),IF('Personalkosten 3. Jahr'!C24&gt;0,'Personalkosten 3. Jahr'!M24/12,0))</f>
        <v>0</v>
      </c>
      <c r="G78" s="54">
        <f>IF(Q78&gt;0,IF(Q78&lt;=Hilfstabelle!$G$68=AND(R78&gt;=Hilfstabelle!$G$68),'Personalkosten 3. Jahr'!M24/(R78-Q78+1),0),IF('Personalkosten 3. Jahr'!C24&gt;0,'Personalkosten 3. Jahr'!M24/12,0))</f>
        <v>0</v>
      </c>
      <c r="H78" s="54">
        <f>IF(Q78&gt;0,IF(Q78&lt;=Hilfstabelle!$H$68=AND(R78&gt;=Hilfstabelle!$H$68),'Personalkosten 3. Jahr'!M24/(R78-Q78+1),0),IF('Personalkosten 3. Jahr'!C24&gt;0,'Personalkosten 3. Jahr'!M24/12,0))</f>
        <v>0</v>
      </c>
      <c r="I78" s="54">
        <f>IF(Q78&gt;0,IF(Q78&lt;=Hilfstabelle!$I$68=AND(R78&gt;=Hilfstabelle!$I$68),'Personalkosten 3. Jahr'!M24/(R78-Q78+1),0),IF('Personalkosten 3. Jahr'!C24&gt;0,'Personalkosten 3. Jahr'!M24/12,0))</f>
        <v>0</v>
      </c>
      <c r="J78" s="54">
        <f>IF(Q78&gt;0,IF(Q78&lt;=Hilfstabelle!$J$68=AND(R78&gt;=Hilfstabelle!$J$68),'Personalkosten 3. Jahr'!M24/(R78-Q78+1),0),IF('Personalkosten 3. Jahr'!C24&gt;0,'Personalkosten 3. Jahr'!M24/12,0))</f>
        <v>0</v>
      </c>
      <c r="K78" s="54">
        <f>IF(Q78&gt;0,IF(Q78&lt;=Hilfstabelle!$K$68=AND(R78&gt;=Hilfstabelle!$K$68),'Personalkosten 3. Jahr'!M24/(R78-Q78+1),0),IF('Personalkosten 3. Jahr'!C24&gt;0,'Personalkosten 3. Jahr'!M24/12,0))</f>
        <v>0</v>
      </c>
      <c r="L78" s="54">
        <f>IF(Q78&gt;0,IF(Q78&lt;=Hilfstabelle!$L$68=AND(R78&gt;=Hilfstabelle!$L$68),'Personalkosten 3. Jahr'!M24/(R78-Q78+1),0),IF('Personalkosten 3. Jahr'!C24&gt;0,'Personalkosten 3. Jahr'!M24/12,0))</f>
        <v>0</v>
      </c>
      <c r="M78" s="54">
        <f>IF(Q78&gt;0,IF(Q78&lt;=Hilfstabelle!$M$68=AND(R78&gt;=Hilfstabelle!$M$68),'Personalkosten 3. Jahr'!M24/(R78-Q78+1),0),IF('Personalkosten 3. Jahr'!C24&gt;0,'Personalkosten 3. Jahr'!M24/12,0))</f>
        <v>0</v>
      </c>
      <c r="N78" s="55">
        <f t="shared" si="8"/>
        <v>0</v>
      </c>
      <c r="O78" s="34"/>
      <c r="Q78" s="26">
        <f>IF('Personalkosten 3. Jahr'!D24="",1,IF(EOMONTH('Personalkosten 3. Jahr'!D24,0)=EOMONTH($R$67,0),1,IF(EOMONTH('Personalkosten 3. Jahr'!D24,0)=EOMONTH($R$67,1),2,IF(EOMONTH('Personalkosten 3. Jahr'!D24,0)=EOMONTH($R$67,2),3,IF(EOMONTH('Personalkosten 3. Jahr'!D24,0)=EOMONTH($R$67,3),4,IF(EOMONTH('Personalkosten 3. Jahr'!D24,0)=EOMONTH($R$67,4),5,IF(EOMONTH('Personalkosten 3. Jahr'!D24,0)=EOMONTH($R$67,5),6,IF(EOMONTH('Personalkosten 3. Jahr'!D24,0)=EOMONTH($R$67,6),7,IF(EOMONTH('Personalkosten 3. Jahr'!D24,0)=EOMONTH($R$67,7),8,IF(EOMONTH('Personalkosten 3. Jahr'!D24,0)=EOMONTH($R$67,8),9,IF(EOMONTH('Personalkosten 3. Jahr'!D24,0)=EOMONTH($R$67,9),10,IF(EOMONTH('Personalkosten 3. Jahr'!D24,0)=EOMONTH($R$67,10),11,IF(EOMONTH('Personalkosten 3. Jahr'!D24,0)=EOMONTH($R$67,11),12,"")))))))))))))</f>
        <v>1</v>
      </c>
      <c r="R78" s="26">
        <f>IF('Personalkosten 3. Jahr'!E24="",12,IF(EOMONTH('Personalkosten 3. Jahr'!E24,0)=EOMONTH($R$67,0),1,IF(EOMONTH('Personalkosten 3. Jahr'!E24,0)=EOMONTH($R$67,1),2,IF(EOMONTH('Personalkosten 3. Jahr'!E24,0)=EOMONTH($R$67,2),3,IF(EOMONTH('Personalkosten 3. Jahr'!E24,0)=EOMONTH($R$67,3),4,IF(EOMONTH('Personalkosten 3. Jahr'!E24,0)=EOMONTH($R$67,4),5,IF(EOMONTH('Personalkosten 3. Jahr'!E24,0)=EOMONTH($R$67,5),6,IF(EOMONTH('Personalkosten 3. Jahr'!E24,0)=EOMONTH($R$67,6),7,IF(EOMONTH('Personalkosten 3. Jahr'!E24,0)=EOMONTH($R$67,7),8,IF(EOMONTH('Personalkosten 3. Jahr'!E24,0)=EOMONTH($R$67,8),9,IF(EOMONTH('Personalkosten 3. Jahr'!E24,0)=EOMONTH($R$67,9),10,IF(EOMONTH('Personalkosten 3. Jahr'!E24,0)=EOMONTH($R$67,10),11,IF(EOMONTH('Personalkosten 3. Jahr'!E24,0)=EOMONTH($R$67,11),12,"")))))))))))))</f>
        <v>12</v>
      </c>
    </row>
    <row r="79" spans="1:18">
      <c r="A79" s="32">
        <v>11</v>
      </c>
      <c r="B79" s="54">
        <f>IF(Q79&gt;0,IF(Q79&lt;=Hilfstabelle!$B$68=AND(R79&gt;=Hilfstabelle!$B$68),'Personalkosten 3. Jahr'!M25/(R79-Q79+1),0),IF('Personalkosten 3. Jahr'!C25&gt;0,'Personalkosten 3. Jahr'!M25/12,0))</f>
        <v>0</v>
      </c>
      <c r="C79" s="54">
        <f>IF(Q79&gt;0,IF(Q79&lt;=Hilfstabelle!$C$68=AND(R79&gt;=Hilfstabelle!$C$68),'Personalkosten 3. Jahr'!M25/(R79-Q79+1),0),IF('Personalkosten 3. Jahr'!C25&gt;0,'Personalkosten 3. Jahr'!M25/12,0))</f>
        <v>0</v>
      </c>
      <c r="D79" s="54">
        <f>IF(Q79&gt;0,IF(Q79&lt;=Hilfstabelle!$D$68=AND(R79&gt;=Hilfstabelle!$D$68),'Personalkosten 3. Jahr'!M25/(R79-Q79+1),0),IF('Personalkosten 3. Jahr'!C25&gt;0,'Personalkosten 3. Jahr'!M25/12,0))</f>
        <v>0</v>
      </c>
      <c r="E79" s="54">
        <f>IF(Q79&gt;0,IF(Q79&lt;=Hilfstabelle!$E$68=AND(R79&gt;=Hilfstabelle!$E$68),'Personalkosten 3. Jahr'!M25/(R79-Q79+1),0),IF('Personalkosten 3. Jahr'!C25&gt;0,'Personalkosten 3. Jahr'!M25/12,0))</f>
        <v>0</v>
      </c>
      <c r="F79" s="54">
        <f>IF(Q79&gt;0,IF(Q79&lt;=Hilfstabelle!$F$68=AND(R79&gt;=Hilfstabelle!$F$68),'Personalkosten 3. Jahr'!M25/(R79-Q79+1),0),IF('Personalkosten 3. Jahr'!C25&gt;0,'Personalkosten 3. Jahr'!M25/12,0))</f>
        <v>0</v>
      </c>
      <c r="G79" s="54">
        <f>IF(Q79&gt;0,IF(Q79&lt;=Hilfstabelle!$G$68=AND(R79&gt;=Hilfstabelle!$G$68),'Personalkosten 3. Jahr'!M25/(R79-Q79+1),0),IF('Personalkosten 3. Jahr'!C25&gt;0,'Personalkosten 3. Jahr'!M25/12,0))</f>
        <v>0</v>
      </c>
      <c r="H79" s="54">
        <f>IF(Q79&gt;0,IF(Q79&lt;=Hilfstabelle!$H$68=AND(R79&gt;=Hilfstabelle!$H$68),'Personalkosten 3. Jahr'!M25/(R79-Q79+1),0),IF('Personalkosten 3. Jahr'!C25&gt;0,'Personalkosten 3. Jahr'!M25/12,0))</f>
        <v>0</v>
      </c>
      <c r="I79" s="54">
        <f>IF(Q79&gt;0,IF(Q79&lt;=Hilfstabelle!$I$68=AND(R79&gt;=Hilfstabelle!$I$68),'Personalkosten 3. Jahr'!M25/(R79-Q79+1),0),IF('Personalkosten 3. Jahr'!C25&gt;0,'Personalkosten 3. Jahr'!M25/12,0))</f>
        <v>0</v>
      </c>
      <c r="J79" s="54">
        <f>IF(Q79&gt;0,IF(Q79&lt;=Hilfstabelle!$J$68=AND(R79&gt;=Hilfstabelle!$J$68),'Personalkosten 3. Jahr'!M25/(R79-Q79+1),0),IF('Personalkosten 3. Jahr'!C25&gt;0,'Personalkosten 3. Jahr'!M25/12,0))</f>
        <v>0</v>
      </c>
      <c r="K79" s="54">
        <f>IF(Q79&gt;0,IF(Q79&lt;=Hilfstabelle!$K$68=AND(R79&gt;=Hilfstabelle!$K$68),'Personalkosten 3. Jahr'!M25/(R79-Q79+1),0),IF('Personalkosten 3. Jahr'!C25&gt;0,'Personalkosten 3. Jahr'!M25/12,0))</f>
        <v>0</v>
      </c>
      <c r="L79" s="54">
        <f>IF(Q79&gt;0,IF(Q79&lt;=Hilfstabelle!$L$68=AND(R79&gt;=Hilfstabelle!$L$68),'Personalkosten 3. Jahr'!M25/(R79-Q79+1),0),IF('Personalkosten 3. Jahr'!C25&gt;0,'Personalkosten 3. Jahr'!M25/12,0))</f>
        <v>0</v>
      </c>
      <c r="M79" s="54">
        <f>IF(Q79&gt;0,IF(Q79&lt;=Hilfstabelle!$M$68=AND(R79&gt;=Hilfstabelle!$M$68),'Personalkosten 3. Jahr'!M25/(R79-Q79+1),0),IF('Personalkosten 3. Jahr'!C25&gt;0,'Personalkosten 3. Jahr'!M25/12,0))</f>
        <v>0</v>
      </c>
      <c r="N79" s="55">
        <f t="shared" si="8"/>
        <v>0</v>
      </c>
      <c r="O79" s="34"/>
      <c r="Q79" s="26">
        <f>IF('Personalkosten 3. Jahr'!D25="",1,IF(EOMONTH('Personalkosten 3. Jahr'!D25,0)=EOMONTH($R$67,0),1,IF(EOMONTH('Personalkosten 3. Jahr'!D25,0)=EOMONTH($R$67,1),2,IF(EOMONTH('Personalkosten 3. Jahr'!D25,0)=EOMONTH($R$67,2),3,IF(EOMONTH('Personalkosten 3. Jahr'!D25,0)=EOMONTH($R$67,3),4,IF(EOMONTH('Personalkosten 3. Jahr'!D25,0)=EOMONTH($R$67,4),5,IF(EOMONTH('Personalkosten 3. Jahr'!D25,0)=EOMONTH($R$67,5),6,IF(EOMONTH('Personalkosten 3. Jahr'!D25,0)=EOMONTH($R$67,6),7,IF(EOMONTH('Personalkosten 3. Jahr'!D25,0)=EOMONTH($R$67,7),8,IF(EOMONTH('Personalkosten 3. Jahr'!D25,0)=EOMONTH($R$67,8),9,IF(EOMONTH('Personalkosten 3. Jahr'!D25,0)=EOMONTH($R$67,9),10,IF(EOMONTH('Personalkosten 3. Jahr'!D25,0)=EOMONTH($R$67,10),11,IF(EOMONTH('Personalkosten 3. Jahr'!D25,0)=EOMONTH($R$67,11),12,"")))))))))))))</f>
        <v>1</v>
      </c>
      <c r="R79" s="26">
        <f>IF('Personalkosten 3. Jahr'!E25="",12,IF(EOMONTH('Personalkosten 3. Jahr'!E25,0)=EOMONTH($R$67,0),1,IF(EOMONTH('Personalkosten 3. Jahr'!E25,0)=EOMONTH($R$67,1),2,IF(EOMONTH('Personalkosten 3. Jahr'!E25,0)=EOMONTH($R$67,2),3,IF(EOMONTH('Personalkosten 3. Jahr'!E25,0)=EOMONTH($R$67,3),4,IF(EOMONTH('Personalkosten 3. Jahr'!E25,0)=EOMONTH($R$67,4),5,IF(EOMONTH('Personalkosten 3. Jahr'!E25,0)=EOMONTH($R$67,5),6,IF(EOMONTH('Personalkosten 3. Jahr'!E25,0)=EOMONTH($R$67,6),7,IF(EOMONTH('Personalkosten 3. Jahr'!E25,0)=EOMONTH($R$67,7),8,IF(EOMONTH('Personalkosten 3. Jahr'!E25,0)=EOMONTH($R$67,8),9,IF(EOMONTH('Personalkosten 3. Jahr'!E25,0)=EOMONTH($R$67,9),10,IF(EOMONTH('Personalkosten 3. Jahr'!E25,0)=EOMONTH($R$67,10),11,IF(EOMONTH('Personalkosten 3. Jahr'!E25,0)=EOMONTH($R$67,11),12,"")))))))))))))</f>
        <v>12</v>
      </c>
    </row>
    <row r="80" spans="1:18">
      <c r="A80" s="32">
        <v>12</v>
      </c>
      <c r="B80" s="54">
        <f>IF(Q80&gt;0,IF(Q80&lt;=Hilfstabelle!$B$68=AND(R80&gt;=Hilfstabelle!$B$68),'Personalkosten 3. Jahr'!M26/(R80-Q80+1),0),IF('Personalkosten 3. Jahr'!C26&gt;0,'Personalkosten 3. Jahr'!M26/12,0))</f>
        <v>0</v>
      </c>
      <c r="C80" s="54">
        <f>IF(Q80&gt;0,IF(Q80&lt;=Hilfstabelle!$C$68=AND(R80&gt;=Hilfstabelle!$C$68),'Personalkosten 3. Jahr'!M26/(R80-Q80+1),0),IF('Personalkosten 3. Jahr'!C26&gt;0,'Personalkosten 3. Jahr'!M26/12,0))</f>
        <v>0</v>
      </c>
      <c r="D80" s="54">
        <f>IF(Q80&gt;0,IF(Q80&lt;=Hilfstabelle!$D$68=AND(R80&gt;=Hilfstabelle!$D$68),'Personalkosten 3. Jahr'!M26/(R80-Q80+1),0),IF('Personalkosten 3. Jahr'!C26&gt;0,'Personalkosten 3. Jahr'!M26/12,0))</f>
        <v>0</v>
      </c>
      <c r="E80" s="54">
        <f>IF(Q80&gt;0,IF(Q80&lt;=Hilfstabelle!$E$68=AND(R80&gt;=Hilfstabelle!$E$68),'Personalkosten 3. Jahr'!M26/(R80-Q80+1),0),IF('Personalkosten 3. Jahr'!C26&gt;0,'Personalkosten 3. Jahr'!M26/12,0))</f>
        <v>0</v>
      </c>
      <c r="F80" s="54">
        <f>IF(Q80&gt;0,IF(Q80&lt;=Hilfstabelle!$F$68=AND(R80&gt;=Hilfstabelle!$F$68),'Personalkosten 3. Jahr'!M26/(R80-Q80+1),0),IF('Personalkosten 3. Jahr'!C26&gt;0,'Personalkosten 3. Jahr'!M26/12,0))</f>
        <v>0</v>
      </c>
      <c r="G80" s="54">
        <f>IF(Q80&gt;0,IF(Q80&lt;=Hilfstabelle!$G$68=AND(R80&gt;=Hilfstabelle!$G$68),'Personalkosten 3. Jahr'!M26/(R80-Q80+1),0),IF('Personalkosten 3. Jahr'!C26&gt;0,'Personalkosten 3. Jahr'!M26/12,0))</f>
        <v>0</v>
      </c>
      <c r="H80" s="54">
        <f>IF(Q80&gt;0,IF(Q80&lt;=Hilfstabelle!$H$68=AND(R80&gt;=Hilfstabelle!$H$68),'Personalkosten 3. Jahr'!M26/(R80-Q80+1),0),IF('Personalkosten 3. Jahr'!C26&gt;0,'Personalkosten 3. Jahr'!M26/12,0))</f>
        <v>0</v>
      </c>
      <c r="I80" s="54">
        <f>IF(Q80&gt;0,IF(Q80&lt;=Hilfstabelle!$I$68=AND(R80&gt;=Hilfstabelle!$I$68),'Personalkosten 3. Jahr'!M26/(R80-Q80+1),0),IF('Personalkosten 3. Jahr'!C26&gt;0,'Personalkosten 3. Jahr'!M26/12,0))</f>
        <v>0</v>
      </c>
      <c r="J80" s="54">
        <f>IF(Q80&gt;0,IF(Q80&lt;=Hilfstabelle!$J$68=AND(R80&gt;=Hilfstabelle!$J$68),'Personalkosten 3. Jahr'!M26/(R80-Q80+1),0),IF('Personalkosten 3. Jahr'!C26&gt;0,'Personalkosten 3. Jahr'!M26/12,0))</f>
        <v>0</v>
      </c>
      <c r="K80" s="54">
        <f>IF(Q80&gt;0,IF(Q80&lt;=Hilfstabelle!$K$68=AND(R80&gt;=Hilfstabelle!$K$68),'Personalkosten 3. Jahr'!M26/(R80-Q80+1),0),IF('Personalkosten 3. Jahr'!C26&gt;0,'Personalkosten 3. Jahr'!M26/12,0))</f>
        <v>0</v>
      </c>
      <c r="L80" s="54">
        <f>IF(Q80&gt;0,IF(Q80&lt;=Hilfstabelle!$L$68=AND(R80&gt;=Hilfstabelle!$L$68),'Personalkosten 3. Jahr'!M26/(R80-Q80+1),0),IF('Personalkosten 3. Jahr'!C26&gt;0,'Personalkosten 3. Jahr'!M26/12,0))</f>
        <v>0</v>
      </c>
      <c r="M80" s="54">
        <f>IF(Q80&gt;0,IF(Q80&lt;=Hilfstabelle!$M$68=AND(R80&gt;=Hilfstabelle!$M$68),'Personalkosten 3. Jahr'!M26/(R80-Q80+1),0),IF('Personalkosten 3. Jahr'!C26&gt;0,'Personalkosten 3. Jahr'!M26/12,0))</f>
        <v>0</v>
      </c>
      <c r="N80" s="55">
        <f t="shared" si="8"/>
        <v>0</v>
      </c>
      <c r="O80" s="34"/>
      <c r="Q80" s="26">
        <f>IF('Personalkosten 3. Jahr'!D26="",1,IF(EOMONTH('Personalkosten 3. Jahr'!D26,0)=EOMONTH($R$67,0),1,IF(EOMONTH('Personalkosten 3. Jahr'!D26,0)=EOMONTH($R$67,1),2,IF(EOMONTH('Personalkosten 3. Jahr'!D26,0)=EOMONTH($R$67,2),3,IF(EOMONTH('Personalkosten 3. Jahr'!D26,0)=EOMONTH($R$67,3),4,IF(EOMONTH('Personalkosten 3. Jahr'!D26,0)=EOMONTH($R$67,4),5,IF(EOMONTH('Personalkosten 3. Jahr'!D26,0)=EOMONTH($R$67,5),6,IF(EOMONTH('Personalkosten 3. Jahr'!D26,0)=EOMONTH($R$67,6),7,IF(EOMONTH('Personalkosten 3. Jahr'!D26,0)=EOMONTH($R$67,7),8,IF(EOMONTH('Personalkosten 3. Jahr'!D26,0)=EOMONTH($R$67,8),9,IF(EOMONTH('Personalkosten 3. Jahr'!D26,0)=EOMONTH($R$67,9),10,IF(EOMONTH('Personalkosten 3. Jahr'!D26,0)=EOMONTH($R$67,10),11,IF(EOMONTH('Personalkosten 3. Jahr'!D26,0)=EOMONTH($R$67,11),12,"")))))))))))))</f>
        <v>1</v>
      </c>
      <c r="R80" s="26">
        <f>IF('Personalkosten 3. Jahr'!E26="",12,IF(EOMONTH('Personalkosten 3. Jahr'!E26,0)=EOMONTH($R$67,0),1,IF(EOMONTH('Personalkosten 3. Jahr'!E26,0)=EOMONTH($R$67,1),2,IF(EOMONTH('Personalkosten 3. Jahr'!E26,0)=EOMONTH($R$67,2),3,IF(EOMONTH('Personalkosten 3. Jahr'!E26,0)=EOMONTH($R$67,3),4,IF(EOMONTH('Personalkosten 3. Jahr'!E26,0)=EOMONTH($R$67,4),5,IF(EOMONTH('Personalkosten 3. Jahr'!E26,0)=EOMONTH($R$67,5),6,IF(EOMONTH('Personalkosten 3. Jahr'!E26,0)=EOMONTH($R$67,6),7,IF(EOMONTH('Personalkosten 3. Jahr'!E26,0)=EOMONTH($R$67,7),8,IF(EOMONTH('Personalkosten 3. Jahr'!E26,0)=EOMONTH($R$67,8),9,IF(EOMONTH('Personalkosten 3. Jahr'!E26,0)=EOMONTH($R$67,9),10,IF(EOMONTH('Personalkosten 3. Jahr'!E26,0)=EOMONTH($R$67,10),11,IF(EOMONTH('Personalkosten 3. Jahr'!E26,0)=EOMONTH($R$67,11),12,"")))))))))))))</f>
        <v>12</v>
      </c>
    </row>
    <row r="81" spans="1:18">
      <c r="A81" s="32">
        <v>13</v>
      </c>
      <c r="B81" s="54">
        <f>IF(Q81&gt;0,IF(Q81&lt;=Hilfstabelle!$B$68=AND(R81&gt;=Hilfstabelle!$B$68),'Personalkosten 3. Jahr'!M27/(R81-Q81+1),0),IF('Personalkosten 3. Jahr'!C27&gt;0,'Personalkosten 3. Jahr'!M27/12,0))</f>
        <v>0</v>
      </c>
      <c r="C81" s="54">
        <f>IF(Q81&gt;0,IF(Q81&lt;=Hilfstabelle!$C$68=AND(R81&gt;=Hilfstabelle!$C$68),'Personalkosten 3. Jahr'!M27/(R81-Q81+1),0),IF('Personalkosten 3. Jahr'!C27&gt;0,'Personalkosten 3. Jahr'!M27/12,0))</f>
        <v>0</v>
      </c>
      <c r="D81" s="54">
        <f>IF(Q81&gt;0,IF(Q81&lt;=Hilfstabelle!$D$68=AND(R81&gt;=Hilfstabelle!$D$68),'Personalkosten 3. Jahr'!M27/(R81-Q81+1),0),IF('Personalkosten 3. Jahr'!C27&gt;0,'Personalkosten 3. Jahr'!M27/12,0))</f>
        <v>0</v>
      </c>
      <c r="E81" s="54">
        <f>IF(Q81&gt;0,IF(Q81&lt;=Hilfstabelle!$E$68=AND(R81&gt;=Hilfstabelle!$E$68),'Personalkosten 3. Jahr'!M27/(R81-Q81+1),0),IF('Personalkosten 3. Jahr'!C27&gt;0,'Personalkosten 3. Jahr'!M27/12,0))</f>
        <v>0</v>
      </c>
      <c r="F81" s="54">
        <f>IF(Q81&gt;0,IF(Q81&lt;=Hilfstabelle!$F$68=AND(R81&gt;=Hilfstabelle!$F$68),'Personalkosten 3. Jahr'!M27/(R81-Q81+1),0),IF('Personalkosten 3. Jahr'!C27&gt;0,'Personalkosten 3. Jahr'!M27/12,0))</f>
        <v>0</v>
      </c>
      <c r="G81" s="54">
        <f>IF(Q81&gt;0,IF(Q81&lt;=Hilfstabelle!$G$68=AND(R81&gt;=Hilfstabelle!$G$68),'Personalkosten 3. Jahr'!M27/(R81-Q81+1),0),IF('Personalkosten 3. Jahr'!C27&gt;0,'Personalkosten 3. Jahr'!M27/12,0))</f>
        <v>0</v>
      </c>
      <c r="H81" s="54">
        <f>IF(Q81&gt;0,IF(Q81&lt;=Hilfstabelle!$H$68=AND(R81&gt;=Hilfstabelle!$H$68),'Personalkosten 3. Jahr'!M27/(R81-Q81+1),0),IF('Personalkosten 3. Jahr'!C27&gt;0,'Personalkosten 3. Jahr'!M27/12,0))</f>
        <v>0</v>
      </c>
      <c r="I81" s="54">
        <f>IF(Q81&gt;0,IF(Q81&lt;=Hilfstabelle!$I$68=AND(R81&gt;=Hilfstabelle!$I$68),'Personalkosten 3. Jahr'!M27/(R81-Q81+1),0),IF('Personalkosten 3. Jahr'!C27&gt;0,'Personalkosten 3. Jahr'!M27/12,0))</f>
        <v>0</v>
      </c>
      <c r="J81" s="54">
        <f>IF(Q81&gt;0,IF(Q81&lt;=Hilfstabelle!$J$68=AND(R81&gt;=Hilfstabelle!$J$68),'Personalkosten 3. Jahr'!M27/(R81-Q81+1),0),IF('Personalkosten 3. Jahr'!C27&gt;0,'Personalkosten 3. Jahr'!M27/12,0))</f>
        <v>0</v>
      </c>
      <c r="K81" s="54">
        <f>IF(Q81&gt;0,IF(Q81&lt;=Hilfstabelle!$K$68=AND(R81&gt;=Hilfstabelle!$K$68),'Personalkosten 3. Jahr'!M27/(R81-Q81+1),0),IF('Personalkosten 3. Jahr'!C27&gt;0,'Personalkosten 3. Jahr'!M27/12,0))</f>
        <v>0</v>
      </c>
      <c r="L81" s="54">
        <f>IF(Q81&gt;0,IF(Q81&lt;=Hilfstabelle!$L$68=AND(R81&gt;=Hilfstabelle!$L$68),'Personalkosten 3. Jahr'!M27/(R81-Q81+1),0),IF('Personalkosten 3. Jahr'!C27&gt;0,'Personalkosten 3. Jahr'!M27/12,0))</f>
        <v>0</v>
      </c>
      <c r="M81" s="54">
        <f>IF(Q81&gt;0,IF(Q81&lt;=Hilfstabelle!$M$68=AND(R81&gt;=Hilfstabelle!$M$68),'Personalkosten 3. Jahr'!M27/(R81-Q81+1),0),IF('Personalkosten 3. Jahr'!C27&gt;0,'Personalkosten 3. Jahr'!M27/12,0))</f>
        <v>0</v>
      </c>
      <c r="N81" s="55">
        <f t="shared" si="8"/>
        <v>0</v>
      </c>
      <c r="O81" s="34"/>
      <c r="Q81" s="26">
        <f>IF('Personalkosten 3. Jahr'!D27="",1,IF(EOMONTH('Personalkosten 3. Jahr'!D27,0)=EOMONTH($R$67,0),1,IF(EOMONTH('Personalkosten 3. Jahr'!D27,0)=EOMONTH($R$67,1),2,IF(EOMONTH('Personalkosten 3. Jahr'!D27,0)=EOMONTH($R$67,2),3,IF(EOMONTH('Personalkosten 3. Jahr'!D27,0)=EOMONTH($R$67,3),4,IF(EOMONTH('Personalkosten 3. Jahr'!D27,0)=EOMONTH($R$67,4),5,IF(EOMONTH('Personalkosten 3. Jahr'!D27,0)=EOMONTH($R$67,5),6,IF(EOMONTH('Personalkosten 3. Jahr'!D27,0)=EOMONTH($R$67,6),7,IF(EOMONTH('Personalkosten 3. Jahr'!D27,0)=EOMONTH($R$67,7),8,IF(EOMONTH('Personalkosten 3. Jahr'!D27,0)=EOMONTH($R$67,8),9,IF(EOMONTH('Personalkosten 3. Jahr'!D27,0)=EOMONTH($R$67,9),10,IF(EOMONTH('Personalkosten 3. Jahr'!D27,0)=EOMONTH($R$67,10),11,IF(EOMONTH('Personalkosten 3. Jahr'!D27,0)=EOMONTH($R$67,11),12,"")))))))))))))</f>
        <v>1</v>
      </c>
      <c r="R81" s="26">
        <f>IF('Personalkosten 3. Jahr'!E27="",12,IF(EOMONTH('Personalkosten 3. Jahr'!E27,0)=EOMONTH($R$67,0),1,IF(EOMONTH('Personalkosten 3. Jahr'!E27,0)=EOMONTH($R$67,1),2,IF(EOMONTH('Personalkosten 3. Jahr'!E27,0)=EOMONTH($R$67,2),3,IF(EOMONTH('Personalkosten 3. Jahr'!E27,0)=EOMONTH($R$67,3),4,IF(EOMONTH('Personalkosten 3. Jahr'!E27,0)=EOMONTH($R$67,4),5,IF(EOMONTH('Personalkosten 3. Jahr'!E27,0)=EOMONTH($R$67,5),6,IF(EOMONTH('Personalkosten 3. Jahr'!E27,0)=EOMONTH($R$67,6),7,IF(EOMONTH('Personalkosten 3. Jahr'!E27,0)=EOMONTH($R$67,7),8,IF(EOMONTH('Personalkosten 3. Jahr'!E27,0)=EOMONTH($R$67,8),9,IF(EOMONTH('Personalkosten 3. Jahr'!E27,0)=EOMONTH($R$67,9),10,IF(EOMONTH('Personalkosten 3. Jahr'!E27,0)=EOMONTH($R$67,10),11,IF(EOMONTH('Personalkosten 3. Jahr'!E27,0)=EOMONTH($R$67,11),12,"")))))))))))))</f>
        <v>12</v>
      </c>
    </row>
    <row r="82" spans="1:18">
      <c r="A82" s="32">
        <v>14</v>
      </c>
      <c r="B82" s="54">
        <f>IF(Q82&gt;0,IF(Q82&lt;=Hilfstabelle!$B$68=AND(R82&gt;=Hilfstabelle!$B$68),'Personalkosten 3. Jahr'!M28/(R82-Q82+1),0),IF('Personalkosten 3. Jahr'!C28&gt;0,'Personalkosten 3. Jahr'!M28/12,0))</f>
        <v>0</v>
      </c>
      <c r="C82" s="54">
        <f>IF(Q82&gt;0,IF(Q82&lt;=Hilfstabelle!$C$68=AND(R82&gt;=Hilfstabelle!$C$68),'Personalkosten 3. Jahr'!M28/(R82-Q82+1),0),IF('Personalkosten 3. Jahr'!C28&gt;0,'Personalkosten 3. Jahr'!M28/12,0))</f>
        <v>0</v>
      </c>
      <c r="D82" s="54">
        <f>IF(Q82&gt;0,IF(Q82&lt;=Hilfstabelle!$D$68=AND(R82&gt;=Hilfstabelle!$D$68),'Personalkosten 3. Jahr'!M28/(R82-Q82+1),0),IF('Personalkosten 3. Jahr'!C28&gt;0,'Personalkosten 3. Jahr'!M28/12,0))</f>
        <v>0</v>
      </c>
      <c r="E82" s="54">
        <f>IF(Q82&gt;0,IF(Q82&lt;=Hilfstabelle!$E$68=AND(R82&gt;=Hilfstabelle!$E$68),'Personalkosten 3. Jahr'!M28/(R82-Q82+1),0),IF('Personalkosten 3. Jahr'!C28&gt;0,'Personalkosten 3. Jahr'!M28/12,0))</f>
        <v>0</v>
      </c>
      <c r="F82" s="54">
        <f>IF(Q82&gt;0,IF(Q82&lt;=Hilfstabelle!$F$68=AND(R82&gt;=Hilfstabelle!$F$68),'Personalkosten 3. Jahr'!M28/(R82-Q82+1),0),IF('Personalkosten 3. Jahr'!C28&gt;0,'Personalkosten 3. Jahr'!M28/12,0))</f>
        <v>0</v>
      </c>
      <c r="G82" s="54">
        <f>IF(Q82&gt;0,IF(Q82&lt;=Hilfstabelle!$G$68=AND(R82&gt;=Hilfstabelle!$G$68),'Personalkosten 3. Jahr'!M28/(R82-Q82+1),0),IF('Personalkosten 3. Jahr'!C28&gt;0,'Personalkosten 3. Jahr'!M28/12,0))</f>
        <v>0</v>
      </c>
      <c r="H82" s="54">
        <f>IF(Q82&gt;0,IF(Q82&lt;=Hilfstabelle!$H$68=AND(R82&gt;=Hilfstabelle!$H$68),'Personalkosten 3. Jahr'!M28/(R82-Q82+1),0),IF('Personalkosten 3. Jahr'!C28&gt;0,'Personalkosten 3. Jahr'!M28/12,0))</f>
        <v>0</v>
      </c>
      <c r="I82" s="54">
        <f>IF(Q82&gt;0,IF(Q82&lt;=Hilfstabelle!$I$68=AND(R82&gt;=Hilfstabelle!$I$68),'Personalkosten 3. Jahr'!M28/(R82-Q82+1),0),IF('Personalkosten 3. Jahr'!C28&gt;0,'Personalkosten 3. Jahr'!M28/12,0))</f>
        <v>0</v>
      </c>
      <c r="J82" s="54">
        <f>IF(Q82&gt;0,IF(Q82&lt;=Hilfstabelle!$J$68=AND(R82&gt;=Hilfstabelle!$J$68),'Personalkosten 3. Jahr'!M28/(R82-Q82+1),0),IF('Personalkosten 3. Jahr'!C28&gt;0,'Personalkosten 3. Jahr'!M28/12,0))</f>
        <v>0</v>
      </c>
      <c r="K82" s="54">
        <f>IF(Q82&gt;0,IF(Q82&lt;=Hilfstabelle!$K$68=AND(R82&gt;=Hilfstabelle!$K$68),'Personalkosten 3. Jahr'!M28/(R82-Q82+1),0),IF('Personalkosten 3. Jahr'!C28&gt;0,'Personalkosten 3. Jahr'!M28/12,0))</f>
        <v>0</v>
      </c>
      <c r="L82" s="54">
        <f>IF(Q82&gt;0,IF(Q82&lt;=Hilfstabelle!$L$68=AND(R82&gt;=Hilfstabelle!$L$68),'Personalkosten 3. Jahr'!M28/(R82-Q82+1),0),IF('Personalkosten 3. Jahr'!C28&gt;0,'Personalkosten 3. Jahr'!M28/12,0))</f>
        <v>0</v>
      </c>
      <c r="M82" s="54">
        <f>IF(Q82&gt;0,IF(Q82&lt;=Hilfstabelle!$M$68=AND(R82&gt;=Hilfstabelle!$M$68),'Personalkosten 3. Jahr'!M28/(R82-Q82+1),0),IF('Personalkosten 3. Jahr'!C28&gt;0,'Personalkosten 3. Jahr'!M28/12,0))</f>
        <v>0</v>
      </c>
      <c r="N82" s="55">
        <f t="shared" si="8"/>
        <v>0</v>
      </c>
      <c r="O82" s="34"/>
      <c r="Q82" s="26">
        <f>IF('Personalkosten 3. Jahr'!D28="",1,IF(EOMONTH('Personalkosten 3. Jahr'!D28,0)=EOMONTH($R$67,0),1,IF(EOMONTH('Personalkosten 3. Jahr'!D28,0)=EOMONTH($R$67,1),2,IF(EOMONTH('Personalkosten 3. Jahr'!D28,0)=EOMONTH($R$67,2),3,IF(EOMONTH('Personalkosten 3. Jahr'!D28,0)=EOMONTH($R$67,3),4,IF(EOMONTH('Personalkosten 3. Jahr'!D28,0)=EOMONTH($R$67,4),5,IF(EOMONTH('Personalkosten 3. Jahr'!D28,0)=EOMONTH($R$67,5),6,IF(EOMONTH('Personalkosten 3. Jahr'!D28,0)=EOMONTH($R$67,6),7,IF(EOMONTH('Personalkosten 3. Jahr'!D28,0)=EOMONTH($R$67,7),8,IF(EOMONTH('Personalkosten 3. Jahr'!D28,0)=EOMONTH($R$67,8),9,IF(EOMONTH('Personalkosten 3. Jahr'!D28,0)=EOMONTH($R$67,9),10,IF(EOMONTH('Personalkosten 3. Jahr'!D28,0)=EOMONTH($R$67,10),11,IF(EOMONTH('Personalkosten 3. Jahr'!D28,0)=EOMONTH($R$67,11),12,"")))))))))))))</f>
        <v>1</v>
      </c>
      <c r="R82" s="26">
        <f>IF('Personalkosten 3. Jahr'!E28="",12,IF(EOMONTH('Personalkosten 3. Jahr'!E28,0)=EOMONTH($R$67,0),1,IF(EOMONTH('Personalkosten 3. Jahr'!E28,0)=EOMONTH($R$67,1),2,IF(EOMONTH('Personalkosten 3. Jahr'!E28,0)=EOMONTH($R$67,2),3,IF(EOMONTH('Personalkosten 3. Jahr'!E28,0)=EOMONTH($R$67,3),4,IF(EOMONTH('Personalkosten 3. Jahr'!E28,0)=EOMONTH($R$67,4),5,IF(EOMONTH('Personalkosten 3. Jahr'!E28,0)=EOMONTH($R$67,5),6,IF(EOMONTH('Personalkosten 3. Jahr'!E28,0)=EOMONTH($R$67,6),7,IF(EOMONTH('Personalkosten 3. Jahr'!E28,0)=EOMONTH($R$67,7),8,IF(EOMONTH('Personalkosten 3. Jahr'!E28,0)=EOMONTH($R$67,8),9,IF(EOMONTH('Personalkosten 3. Jahr'!E28,0)=EOMONTH($R$67,9),10,IF(EOMONTH('Personalkosten 3. Jahr'!E28,0)=EOMONTH($R$67,10),11,IF(EOMONTH('Personalkosten 3. Jahr'!E28,0)=EOMONTH($R$67,11),12,"")))))))))))))</f>
        <v>12</v>
      </c>
    </row>
    <row r="83" spans="1:18">
      <c r="A83" s="32">
        <v>15</v>
      </c>
      <c r="B83" s="54">
        <f>IF(Q83&gt;0,IF(Q83&lt;=Hilfstabelle!$B$68=AND(R83&gt;=Hilfstabelle!$B$68),'Personalkosten 3. Jahr'!M29/(R83-Q83+1),0),IF('Personalkosten 3. Jahr'!C29&gt;0,'Personalkosten 3. Jahr'!M29/12,0))</f>
        <v>0</v>
      </c>
      <c r="C83" s="54">
        <f>IF(Q83&gt;0,IF(Q83&lt;=Hilfstabelle!$C$68=AND(R83&gt;=Hilfstabelle!$C$68),'Personalkosten 3. Jahr'!M29/(R83-Q83+1),0),IF('Personalkosten 3. Jahr'!C29&gt;0,'Personalkosten 3. Jahr'!M29/12,0))</f>
        <v>0</v>
      </c>
      <c r="D83" s="54">
        <f>IF(Q83&gt;0,IF(Q83&lt;=Hilfstabelle!$D$68=AND(R83&gt;=Hilfstabelle!$D$68),'Personalkosten 3. Jahr'!M29/(R83-Q83+1),0),IF('Personalkosten 3. Jahr'!C29&gt;0,'Personalkosten 3. Jahr'!M29/12,0))</f>
        <v>0</v>
      </c>
      <c r="E83" s="54">
        <f>IF(Q83&gt;0,IF(Q83&lt;=Hilfstabelle!$E$68=AND(R83&gt;=Hilfstabelle!$E$68),'Personalkosten 3. Jahr'!M29/(R83-Q83+1),0),IF('Personalkosten 3. Jahr'!C29&gt;0,'Personalkosten 3. Jahr'!M29/12,0))</f>
        <v>0</v>
      </c>
      <c r="F83" s="54">
        <f>IF(Q83&gt;0,IF(Q83&lt;=Hilfstabelle!$F$68=AND(R83&gt;=Hilfstabelle!$F$68),'Personalkosten 3. Jahr'!M29/(R83-Q83+1),0),IF('Personalkosten 3. Jahr'!C29&gt;0,'Personalkosten 3. Jahr'!M29/12,0))</f>
        <v>0</v>
      </c>
      <c r="G83" s="54">
        <f>IF(Q83&gt;0,IF(Q83&lt;=Hilfstabelle!$G$68=AND(R83&gt;=Hilfstabelle!$G$68),'Personalkosten 3. Jahr'!M29/(R83-Q83+1),0),IF('Personalkosten 3. Jahr'!C29&gt;0,'Personalkosten 3. Jahr'!M29/12,0))</f>
        <v>0</v>
      </c>
      <c r="H83" s="54">
        <f>IF(Q83&gt;0,IF(Q83&lt;=Hilfstabelle!$H$68=AND(R83&gt;=Hilfstabelle!$H$68),'Personalkosten 3. Jahr'!M29/(R83-Q83+1),0),IF('Personalkosten 3. Jahr'!C29&gt;0,'Personalkosten 3. Jahr'!M29/12,0))</f>
        <v>0</v>
      </c>
      <c r="I83" s="54">
        <f>IF(Q83&gt;0,IF(Q83&lt;=Hilfstabelle!$I$68=AND(R83&gt;=Hilfstabelle!$I$68),'Personalkosten 3. Jahr'!M29/(R83-Q83+1),0),IF('Personalkosten 3. Jahr'!C29&gt;0,'Personalkosten 3. Jahr'!M29/12,0))</f>
        <v>0</v>
      </c>
      <c r="J83" s="54">
        <f>IF(Q83&gt;0,IF(Q83&lt;=Hilfstabelle!$J$68=AND(R83&gt;=Hilfstabelle!$J$68),'Personalkosten 3. Jahr'!M29/(R83-Q83+1),0),IF('Personalkosten 3. Jahr'!C29&gt;0,'Personalkosten 3. Jahr'!M29/12,0))</f>
        <v>0</v>
      </c>
      <c r="K83" s="54">
        <f>IF(Q83&gt;0,IF(Q83&lt;=Hilfstabelle!$K$68=AND(R83&gt;=Hilfstabelle!$K$68),'Personalkosten 3. Jahr'!M29/(R83-Q83+1),0),IF('Personalkosten 3. Jahr'!C29&gt;0,'Personalkosten 3. Jahr'!M29/12,0))</f>
        <v>0</v>
      </c>
      <c r="L83" s="54">
        <f>IF(Q83&gt;0,IF(Q83&lt;=Hilfstabelle!$L$68=AND(R83&gt;=Hilfstabelle!$L$68),'Personalkosten 3. Jahr'!M29/(R83-Q83+1),0),IF('Personalkosten 3. Jahr'!C29&gt;0,'Personalkosten 3. Jahr'!M29/12,0))</f>
        <v>0</v>
      </c>
      <c r="M83" s="54">
        <f>IF(Q83&gt;0,IF(Q83&lt;=Hilfstabelle!$M$68=AND(R83&gt;=Hilfstabelle!$M$68),'Personalkosten 3. Jahr'!M29/(R83-Q83+1),0),IF('Personalkosten 3. Jahr'!C29&gt;0,'Personalkosten 3. Jahr'!M29/12,0))</f>
        <v>0</v>
      </c>
      <c r="N83" s="55">
        <f t="shared" si="8"/>
        <v>0</v>
      </c>
      <c r="O83" s="34"/>
      <c r="Q83" s="26">
        <f>IF('Personalkosten 3. Jahr'!D29="",1,IF(EOMONTH('Personalkosten 3. Jahr'!D29,0)=EOMONTH($R$67,0),1,IF(EOMONTH('Personalkosten 3. Jahr'!D29,0)=EOMONTH($R$67,1),2,IF(EOMONTH('Personalkosten 3. Jahr'!D29,0)=EOMONTH($R$67,2),3,IF(EOMONTH('Personalkosten 3. Jahr'!D29,0)=EOMONTH($R$67,3),4,IF(EOMONTH('Personalkosten 3. Jahr'!D29,0)=EOMONTH($R$67,4),5,IF(EOMONTH('Personalkosten 3. Jahr'!D29,0)=EOMONTH($R$67,5),6,IF(EOMONTH('Personalkosten 3. Jahr'!D29,0)=EOMONTH($R$67,6),7,IF(EOMONTH('Personalkosten 3. Jahr'!D29,0)=EOMONTH($R$67,7),8,IF(EOMONTH('Personalkosten 3. Jahr'!D29,0)=EOMONTH($R$67,8),9,IF(EOMONTH('Personalkosten 3. Jahr'!D29,0)=EOMONTH($R$67,9),10,IF(EOMONTH('Personalkosten 3. Jahr'!D29,0)=EOMONTH($R$67,10),11,IF(EOMONTH('Personalkosten 3. Jahr'!D29,0)=EOMONTH($R$67,11),12,"")))))))))))))</f>
        <v>1</v>
      </c>
      <c r="R83" s="26">
        <f>IF('Personalkosten 3. Jahr'!E29="",12,IF(EOMONTH('Personalkosten 3. Jahr'!E29,0)=EOMONTH($R$67,0),1,IF(EOMONTH('Personalkosten 3. Jahr'!E29,0)=EOMONTH($R$67,1),2,IF(EOMONTH('Personalkosten 3. Jahr'!E29,0)=EOMONTH($R$67,2),3,IF(EOMONTH('Personalkosten 3. Jahr'!E29,0)=EOMONTH($R$67,3),4,IF(EOMONTH('Personalkosten 3. Jahr'!E29,0)=EOMONTH($R$67,4),5,IF(EOMONTH('Personalkosten 3. Jahr'!E29,0)=EOMONTH($R$67,5),6,IF(EOMONTH('Personalkosten 3. Jahr'!E29,0)=EOMONTH($R$67,6),7,IF(EOMONTH('Personalkosten 3. Jahr'!E29,0)=EOMONTH($R$67,7),8,IF(EOMONTH('Personalkosten 3. Jahr'!E29,0)=EOMONTH($R$67,8),9,IF(EOMONTH('Personalkosten 3. Jahr'!E29,0)=EOMONTH($R$67,9),10,IF(EOMONTH('Personalkosten 3. Jahr'!E29,0)=EOMONTH($R$67,10),11,IF(EOMONTH('Personalkosten 3. Jahr'!E29,0)=EOMONTH($R$67,11),12,"")))))))))))))</f>
        <v>12</v>
      </c>
    </row>
    <row r="84" spans="1:18">
      <c r="A84" s="32">
        <v>16</v>
      </c>
      <c r="B84" s="54">
        <f>IF(Q84&gt;0,IF(Q84&lt;=Hilfstabelle!$B$68=AND(R84&gt;=Hilfstabelle!$B$68),'Personalkosten 3. Jahr'!M30/(R84-Q84+1),0),IF('Personalkosten 3. Jahr'!C30&gt;0,'Personalkosten 3. Jahr'!M30/12,0))</f>
        <v>0</v>
      </c>
      <c r="C84" s="54">
        <f>IF(Q84&gt;0,IF(Q84&lt;=Hilfstabelle!$C$68=AND(R84&gt;=Hilfstabelle!$C$68),'Personalkosten 3. Jahr'!M30/(R84-Q84+1),0),IF('Personalkosten 3. Jahr'!C30&gt;0,'Personalkosten 3. Jahr'!M30/12,0))</f>
        <v>0</v>
      </c>
      <c r="D84" s="54">
        <f>IF(Q84&gt;0,IF(Q84&lt;=Hilfstabelle!$D$68=AND(R84&gt;=Hilfstabelle!$D$68),'Personalkosten 3. Jahr'!M30/(R84-Q84+1),0),IF('Personalkosten 3. Jahr'!C30&gt;0,'Personalkosten 3. Jahr'!M30/12,0))</f>
        <v>0</v>
      </c>
      <c r="E84" s="54">
        <f>IF(Q84&gt;0,IF(Q84&lt;=Hilfstabelle!$E$68=AND(R84&gt;=Hilfstabelle!$E$68),'Personalkosten 3. Jahr'!M30/(R84-Q84+1),0),IF('Personalkosten 3. Jahr'!C30&gt;0,'Personalkosten 3. Jahr'!M30/12,0))</f>
        <v>0</v>
      </c>
      <c r="F84" s="54">
        <f>IF(Q84&gt;0,IF(Q84&lt;=Hilfstabelle!$F$68=AND(R84&gt;=Hilfstabelle!$F$68),'Personalkosten 3. Jahr'!M30/(R84-Q84+1),0),IF('Personalkosten 3. Jahr'!C30&gt;0,'Personalkosten 3. Jahr'!M30/12,0))</f>
        <v>0</v>
      </c>
      <c r="G84" s="54">
        <f>IF(Q84&gt;0,IF(Q84&lt;=Hilfstabelle!$G$68=AND(R84&gt;=Hilfstabelle!$G$68),'Personalkosten 3. Jahr'!M30/(R84-Q84+1),0),IF('Personalkosten 3. Jahr'!C30&gt;0,'Personalkosten 3. Jahr'!M30/12,0))</f>
        <v>0</v>
      </c>
      <c r="H84" s="54">
        <f>IF(Q84&gt;0,IF(Q84&lt;=Hilfstabelle!$H$68=AND(R84&gt;=Hilfstabelle!$H$68),'Personalkosten 3. Jahr'!M30/(R84-Q84+1),0),IF('Personalkosten 3. Jahr'!C30&gt;0,'Personalkosten 3. Jahr'!M30/12,0))</f>
        <v>0</v>
      </c>
      <c r="I84" s="54">
        <f>IF(Q84&gt;0,IF(Q84&lt;=Hilfstabelle!$I$68=AND(R84&gt;=Hilfstabelle!$I$68),'Personalkosten 3. Jahr'!M30/(R84-Q84+1),0),IF('Personalkosten 3. Jahr'!C30&gt;0,'Personalkosten 3. Jahr'!M30/12,0))</f>
        <v>0</v>
      </c>
      <c r="J84" s="54">
        <f>IF(Q84&gt;0,IF(Q84&lt;=Hilfstabelle!$J$68=AND(R84&gt;=Hilfstabelle!$J$68),'Personalkosten 3. Jahr'!M30/(R84-Q84+1),0),IF('Personalkosten 3. Jahr'!C30&gt;0,'Personalkosten 3. Jahr'!M30/12,0))</f>
        <v>0</v>
      </c>
      <c r="K84" s="54">
        <f>IF(Q84&gt;0,IF(Q84&lt;=Hilfstabelle!$K$68=AND(R84&gt;=Hilfstabelle!$K$68),'Personalkosten 3. Jahr'!M30/(R84-Q84+1),0),IF('Personalkosten 3. Jahr'!C30&gt;0,'Personalkosten 3. Jahr'!M30/12,0))</f>
        <v>0</v>
      </c>
      <c r="L84" s="54">
        <f>IF(Q84&gt;0,IF(Q84&lt;=Hilfstabelle!$L$68=AND(R84&gt;=Hilfstabelle!$L$68),'Personalkosten 3. Jahr'!M30/(R84-Q84+1),0),IF('Personalkosten 3. Jahr'!C30&gt;0,'Personalkosten 3. Jahr'!M30/12,0))</f>
        <v>0</v>
      </c>
      <c r="M84" s="54">
        <f>IF(Q84&gt;0,IF(Q84&lt;=Hilfstabelle!$M$68=AND(R84&gt;=Hilfstabelle!$M$68),'Personalkosten 3. Jahr'!M30/(R84-Q84+1),0),IF('Personalkosten 3. Jahr'!C30&gt;0,'Personalkosten 3. Jahr'!M30/12,0))</f>
        <v>0</v>
      </c>
      <c r="N84" s="55">
        <f t="shared" si="8"/>
        <v>0</v>
      </c>
      <c r="O84" s="34"/>
      <c r="Q84" s="26">
        <f>IF('Personalkosten 3. Jahr'!D30="",1,IF(EOMONTH('Personalkosten 3. Jahr'!D30,0)=EOMONTH($R$67,0),1,IF(EOMONTH('Personalkosten 3. Jahr'!D30,0)=EOMONTH($R$67,1),2,IF(EOMONTH('Personalkosten 3. Jahr'!D30,0)=EOMONTH($R$67,2),3,IF(EOMONTH('Personalkosten 3. Jahr'!D30,0)=EOMONTH($R$67,3),4,IF(EOMONTH('Personalkosten 3. Jahr'!D30,0)=EOMONTH($R$67,4),5,IF(EOMONTH('Personalkosten 3. Jahr'!D30,0)=EOMONTH($R$67,5),6,IF(EOMONTH('Personalkosten 3. Jahr'!D30,0)=EOMONTH($R$67,6),7,IF(EOMONTH('Personalkosten 3. Jahr'!D30,0)=EOMONTH($R$67,7),8,IF(EOMONTH('Personalkosten 3. Jahr'!D30,0)=EOMONTH($R$67,8),9,IF(EOMONTH('Personalkosten 3. Jahr'!D30,0)=EOMONTH($R$67,9),10,IF(EOMONTH('Personalkosten 3. Jahr'!D30,0)=EOMONTH($R$67,10),11,IF(EOMONTH('Personalkosten 3. Jahr'!D30,0)=EOMONTH($R$67,11),12,"")))))))))))))</f>
        <v>1</v>
      </c>
      <c r="R84" s="26">
        <f>IF('Personalkosten 3. Jahr'!E30="",12,IF(EOMONTH('Personalkosten 3. Jahr'!E30,0)=EOMONTH($R$67,0),1,IF(EOMONTH('Personalkosten 3. Jahr'!E30,0)=EOMONTH($R$67,1),2,IF(EOMONTH('Personalkosten 3. Jahr'!E30,0)=EOMONTH($R$67,2),3,IF(EOMONTH('Personalkosten 3. Jahr'!E30,0)=EOMONTH($R$67,3),4,IF(EOMONTH('Personalkosten 3. Jahr'!E30,0)=EOMONTH($R$67,4),5,IF(EOMONTH('Personalkosten 3. Jahr'!E30,0)=EOMONTH($R$67,5),6,IF(EOMONTH('Personalkosten 3. Jahr'!E30,0)=EOMONTH($R$67,6),7,IF(EOMONTH('Personalkosten 3. Jahr'!E30,0)=EOMONTH($R$67,7),8,IF(EOMONTH('Personalkosten 3. Jahr'!E30,0)=EOMONTH($R$67,8),9,IF(EOMONTH('Personalkosten 3. Jahr'!E30,0)=EOMONTH($R$67,9),10,IF(EOMONTH('Personalkosten 3. Jahr'!E30,0)=EOMONTH($R$67,10),11,IF(EOMONTH('Personalkosten 3. Jahr'!E30,0)=EOMONTH($R$67,11),12,"")))))))))))))</f>
        <v>12</v>
      </c>
    </row>
    <row r="85" spans="1:18">
      <c r="A85" s="32">
        <v>17</v>
      </c>
      <c r="B85" s="54">
        <f>IF(Q85&gt;0,IF(Q85&lt;=Hilfstabelle!$B$68=AND(R85&gt;=Hilfstabelle!$B$68),'Personalkosten 3. Jahr'!M31/(R85-Q85+1),0),IF('Personalkosten 3. Jahr'!C31&gt;0,'Personalkosten 3. Jahr'!M31/12,0))</f>
        <v>0</v>
      </c>
      <c r="C85" s="54">
        <f>IF(Q85&gt;0,IF(Q85&lt;=Hilfstabelle!$C$68=AND(R85&gt;=Hilfstabelle!$C$68),'Personalkosten 3. Jahr'!M31/(R85-Q85+1),0),IF('Personalkosten 3. Jahr'!C31&gt;0,'Personalkosten 3. Jahr'!M31/12,0))</f>
        <v>0</v>
      </c>
      <c r="D85" s="54">
        <f>IF(Q85&gt;0,IF(Q85&lt;=Hilfstabelle!$D$68=AND(R85&gt;=Hilfstabelle!$D$68),'Personalkosten 3. Jahr'!M31/(R85-Q85+1),0),IF('Personalkosten 3. Jahr'!C31&gt;0,'Personalkosten 3. Jahr'!M31/12,0))</f>
        <v>0</v>
      </c>
      <c r="E85" s="54">
        <f>IF(Q85&gt;0,IF(Q85&lt;=Hilfstabelle!$E$68=AND(R85&gt;=Hilfstabelle!$E$68),'Personalkosten 3. Jahr'!M31/(R85-Q85+1),0),IF('Personalkosten 3. Jahr'!C31&gt;0,'Personalkosten 3. Jahr'!M31/12,0))</f>
        <v>0</v>
      </c>
      <c r="F85" s="54">
        <f>IF(Q85&gt;0,IF(Q85&lt;=Hilfstabelle!$F$68=AND(R85&gt;=Hilfstabelle!$F$68),'Personalkosten 3. Jahr'!M31/(R85-Q85+1),0),IF('Personalkosten 3. Jahr'!C31&gt;0,'Personalkosten 3. Jahr'!M31/12,0))</f>
        <v>0</v>
      </c>
      <c r="G85" s="54">
        <f>IF(Q85&gt;0,IF(Q85&lt;=Hilfstabelle!$G$68=AND(R85&gt;=Hilfstabelle!$G$68),'Personalkosten 3. Jahr'!M31/(R85-Q85+1),0),IF('Personalkosten 3. Jahr'!C31&gt;0,'Personalkosten 3. Jahr'!M31/12,0))</f>
        <v>0</v>
      </c>
      <c r="H85" s="54">
        <f>IF(Q85&gt;0,IF(Q85&lt;=Hilfstabelle!$H$68=AND(R85&gt;=Hilfstabelle!$H$68),'Personalkosten 3. Jahr'!M31/(R85-Q85+1),0),IF('Personalkosten 3. Jahr'!C31&gt;0,'Personalkosten 3. Jahr'!M31/12,0))</f>
        <v>0</v>
      </c>
      <c r="I85" s="54">
        <f>IF(Q85&gt;0,IF(Q85&lt;=Hilfstabelle!$I$68=AND(R85&gt;=Hilfstabelle!$I$68),'Personalkosten 3. Jahr'!M31/(R85-Q85+1),0),IF('Personalkosten 3. Jahr'!C31&gt;0,'Personalkosten 3. Jahr'!M31/12,0))</f>
        <v>0</v>
      </c>
      <c r="J85" s="54">
        <f>IF(Q85&gt;0,IF(Q85&lt;=Hilfstabelle!$J$68=AND(R85&gt;=Hilfstabelle!$J$68),'Personalkosten 3. Jahr'!M31/(R85-Q85+1),0),IF('Personalkosten 3. Jahr'!C31&gt;0,'Personalkosten 3. Jahr'!M31/12,0))</f>
        <v>0</v>
      </c>
      <c r="K85" s="54">
        <f>IF(Q85&gt;0,IF(Q85&lt;=Hilfstabelle!$K$68=AND(R85&gt;=Hilfstabelle!$K$68),'Personalkosten 3. Jahr'!M31/(R85-Q85+1),0),IF('Personalkosten 3. Jahr'!C31&gt;0,'Personalkosten 3. Jahr'!M31/12,0))</f>
        <v>0</v>
      </c>
      <c r="L85" s="54">
        <f>IF(Q85&gt;0,IF(Q85&lt;=Hilfstabelle!$L$68=AND(R85&gt;=Hilfstabelle!$L$68),'Personalkosten 3. Jahr'!M31/(R85-Q85+1),0),IF('Personalkosten 3. Jahr'!C31&gt;0,'Personalkosten 3. Jahr'!M31/12,0))</f>
        <v>0</v>
      </c>
      <c r="M85" s="54">
        <f>IF(Q85&gt;0,IF(Q85&lt;=Hilfstabelle!$M$68=AND(R85&gt;=Hilfstabelle!$M$68),'Personalkosten 3. Jahr'!M31/(R85-Q85+1),0),IF('Personalkosten 3. Jahr'!C31&gt;0,'Personalkosten 3. Jahr'!M31/12,0))</f>
        <v>0</v>
      </c>
      <c r="N85" s="55">
        <f t="shared" si="8"/>
        <v>0</v>
      </c>
      <c r="O85" s="34"/>
      <c r="Q85" s="26">
        <f>IF('Personalkosten 3. Jahr'!D31="",1,IF(EOMONTH('Personalkosten 3. Jahr'!D31,0)=EOMONTH($R$67,0),1,IF(EOMONTH('Personalkosten 3. Jahr'!D31,0)=EOMONTH($R$67,1),2,IF(EOMONTH('Personalkosten 3. Jahr'!D31,0)=EOMONTH($R$67,2),3,IF(EOMONTH('Personalkosten 3. Jahr'!D31,0)=EOMONTH($R$67,3),4,IF(EOMONTH('Personalkosten 3. Jahr'!D31,0)=EOMONTH($R$67,4),5,IF(EOMONTH('Personalkosten 3. Jahr'!D31,0)=EOMONTH($R$67,5),6,IF(EOMONTH('Personalkosten 3. Jahr'!D31,0)=EOMONTH($R$67,6),7,IF(EOMONTH('Personalkosten 3. Jahr'!D31,0)=EOMONTH($R$67,7),8,IF(EOMONTH('Personalkosten 3. Jahr'!D31,0)=EOMONTH($R$67,8),9,IF(EOMONTH('Personalkosten 3. Jahr'!D31,0)=EOMONTH($R$67,9),10,IF(EOMONTH('Personalkosten 3. Jahr'!D31,0)=EOMONTH($R$67,10),11,IF(EOMONTH('Personalkosten 3. Jahr'!D31,0)=EOMONTH($R$67,11),12,"")))))))))))))</f>
        <v>1</v>
      </c>
      <c r="R85" s="26">
        <f>IF('Personalkosten 3. Jahr'!E31="",12,IF(EOMONTH('Personalkosten 3. Jahr'!E31,0)=EOMONTH($R$67,0),1,IF(EOMONTH('Personalkosten 3. Jahr'!E31,0)=EOMONTH($R$67,1),2,IF(EOMONTH('Personalkosten 3. Jahr'!E31,0)=EOMONTH($R$67,2),3,IF(EOMONTH('Personalkosten 3. Jahr'!E31,0)=EOMONTH($R$67,3),4,IF(EOMONTH('Personalkosten 3. Jahr'!E31,0)=EOMONTH($R$67,4),5,IF(EOMONTH('Personalkosten 3. Jahr'!E31,0)=EOMONTH($R$67,5),6,IF(EOMONTH('Personalkosten 3. Jahr'!E31,0)=EOMONTH($R$67,6),7,IF(EOMONTH('Personalkosten 3. Jahr'!E31,0)=EOMONTH($R$67,7),8,IF(EOMONTH('Personalkosten 3. Jahr'!E31,0)=EOMONTH($R$67,8),9,IF(EOMONTH('Personalkosten 3. Jahr'!E31,0)=EOMONTH($R$67,9),10,IF(EOMONTH('Personalkosten 3. Jahr'!E31,0)=EOMONTH($R$67,10),11,IF(EOMONTH('Personalkosten 3. Jahr'!E31,0)=EOMONTH($R$67,11),12,"")))))))))))))</f>
        <v>12</v>
      </c>
    </row>
    <row r="86" spans="1:18">
      <c r="A86" s="32">
        <v>18</v>
      </c>
      <c r="B86" s="54">
        <f>IF(Q86&gt;0,IF(Q86&lt;=Hilfstabelle!$B$68=AND(R86&gt;=Hilfstabelle!$B$68),'Personalkosten 3. Jahr'!M32/(R86-Q86+1),0),IF('Personalkosten 3. Jahr'!C32&gt;0,'Personalkosten 3. Jahr'!M32/12,0))</f>
        <v>0</v>
      </c>
      <c r="C86" s="54">
        <f>IF(Q86&gt;0,IF(Q86&lt;=Hilfstabelle!$C$68=AND(R86&gt;=Hilfstabelle!$C$68),'Personalkosten 3. Jahr'!M32/(R86-Q86+1),0),IF('Personalkosten 3. Jahr'!C32&gt;0,'Personalkosten 3. Jahr'!M32/12,0))</f>
        <v>0</v>
      </c>
      <c r="D86" s="54">
        <f>IF(Q86&gt;0,IF(Q86&lt;=Hilfstabelle!$D$68=AND(R86&gt;=Hilfstabelle!$D$68),'Personalkosten 3. Jahr'!M32/(R86-Q86+1),0),IF('Personalkosten 3. Jahr'!C32&gt;0,'Personalkosten 3. Jahr'!M32/12,0))</f>
        <v>0</v>
      </c>
      <c r="E86" s="54">
        <f>IF(Q86&gt;0,IF(Q86&lt;=Hilfstabelle!$E$68=AND(R86&gt;=Hilfstabelle!$E$68),'Personalkosten 3. Jahr'!M32/(R86-Q86+1),0),IF('Personalkosten 3. Jahr'!C32&gt;0,'Personalkosten 3. Jahr'!M32/12,0))</f>
        <v>0</v>
      </c>
      <c r="F86" s="54">
        <f>IF(Q86&gt;0,IF(Q86&lt;=Hilfstabelle!$F$68=AND(R86&gt;=Hilfstabelle!$F$68),'Personalkosten 3. Jahr'!M32/(R86-Q86+1),0),IF('Personalkosten 3. Jahr'!C32&gt;0,'Personalkosten 3. Jahr'!M32/12,0))</f>
        <v>0</v>
      </c>
      <c r="G86" s="54">
        <f>IF(Q86&gt;0,IF(Q86&lt;=Hilfstabelle!$G$68=AND(R86&gt;=Hilfstabelle!$G$68),'Personalkosten 3. Jahr'!M32/(R86-Q86+1),0),IF('Personalkosten 3. Jahr'!C32&gt;0,'Personalkosten 3. Jahr'!M32/12,0))</f>
        <v>0</v>
      </c>
      <c r="H86" s="54">
        <f>IF(Q86&gt;0,IF(Q86&lt;=Hilfstabelle!$H$68=AND(R86&gt;=Hilfstabelle!$H$68),'Personalkosten 3. Jahr'!M32/(R86-Q86+1),0),IF('Personalkosten 3. Jahr'!C32&gt;0,'Personalkosten 3. Jahr'!M32/12,0))</f>
        <v>0</v>
      </c>
      <c r="I86" s="54">
        <f>IF(Q86&gt;0,IF(Q86&lt;=Hilfstabelle!$I$68=AND(R86&gt;=Hilfstabelle!$I$68),'Personalkosten 3. Jahr'!M32/(R86-Q86+1),0),IF('Personalkosten 3. Jahr'!C32&gt;0,'Personalkosten 3. Jahr'!M32/12,0))</f>
        <v>0</v>
      </c>
      <c r="J86" s="54">
        <f>IF(Q86&gt;0,IF(Q86&lt;=Hilfstabelle!$J$68=AND(R86&gt;=Hilfstabelle!$J$68),'Personalkosten 3. Jahr'!M32/(R86-Q86+1),0),IF('Personalkosten 3. Jahr'!C32&gt;0,'Personalkosten 3. Jahr'!M32/12,0))</f>
        <v>0</v>
      </c>
      <c r="K86" s="54">
        <f>IF(Q86&gt;0,IF(Q86&lt;=Hilfstabelle!$K$68=AND(R86&gt;=Hilfstabelle!$K$68),'Personalkosten 3. Jahr'!M32/(R86-Q86+1),0),IF('Personalkosten 3. Jahr'!C32&gt;0,'Personalkosten 3. Jahr'!M32/12,0))</f>
        <v>0</v>
      </c>
      <c r="L86" s="54">
        <f>IF(Q86&gt;0,IF(Q86&lt;=Hilfstabelle!$L$68=AND(R86&gt;=Hilfstabelle!$L$68),'Personalkosten 3. Jahr'!M32/(R86-Q86+1),0),IF('Personalkosten 3. Jahr'!C32&gt;0,'Personalkosten 3. Jahr'!M32/12,0))</f>
        <v>0</v>
      </c>
      <c r="M86" s="54">
        <f>IF(Q86&gt;0,IF(Q86&lt;=Hilfstabelle!$M$68=AND(R86&gt;=Hilfstabelle!$M$68),'Personalkosten 3. Jahr'!M32/(R86-Q86+1),0),IF('Personalkosten 3. Jahr'!C32&gt;0,'Personalkosten 3. Jahr'!M32/12,0))</f>
        <v>0</v>
      </c>
      <c r="N86" s="55">
        <f t="shared" ref="N86:N95" si="9">SUM(B86:M86)</f>
        <v>0</v>
      </c>
      <c r="O86" s="34"/>
      <c r="Q86" s="26">
        <f>IF('Personalkosten 3. Jahr'!D32="",1,IF(EOMONTH('Personalkosten 3. Jahr'!D32,0)=EOMONTH($R$67,0),1,IF(EOMONTH('Personalkosten 3. Jahr'!D32,0)=EOMONTH($R$67,1),2,IF(EOMONTH('Personalkosten 3. Jahr'!D32,0)=EOMONTH($R$67,2),3,IF(EOMONTH('Personalkosten 3. Jahr'!D32,0)=EOMONTH($R$67,3),4,IF(EOMONTH('Personalkosten 3. Jahr'!D32,0)=EOMONTH($R$67,4),5,IF(EOMONTH('Personalkosten 3. Jahr'!D32,0)=EOMONTH($R$67,5),6,IF(EOMONTH('Personalkosten 3. Jahr'!D32,0)=EOMONTH($R$67,6),7,IF(EOMONTH('Personalkosten 3. Jahr'!D32,0)=EOMONTH($R$67,7),8,IF(EOMONTH('Personalkosten 3. Jahr'!D32,0)=EOMONTH($R$67,8),9,IF(EOMONTH('Personalkosten 3. Jahr'!D32,0)=EOMONTH($R$67,9),10,IF(EOMONTH('Personalkosten 3. Jahr'!D32,0)=EOMONTH($R$67,10),11,IF(EOMONTH('Personalkosten 3. Jahr'!D32,0)=EOMONTH($R$67,11),12,"")))))))))))))</f>
        <v>1</v>
      </c>
      <c r="R86" s="26">
        <f>IF('Personalkosten 3. Jahr'!E32="",12,IF(EOMONTH('Personalkosten 3. Jahr'!E32,0)=EOMONTH($R$67,0),1,IF(EOMONTH('Personalkosten 3. Jahr'!E32,0)=EOMONTH($R$67,1),2,IF(EOMONTH('Personalkosten 3. Jahr'!E32,0)=EOMONTH($R$67,2),3,IF(EOMONTH('Personalkosten 3. Jahr'!E32,0)=EOMONTH($R$67,3),4,IF(EOMONTH('Personalkosten 3. Jahr'!E32,0)=EOMONTH($R$67,4),5,IF(EOMONTH('Personalkosten 3. Jahr'!E32,0)=EOMONTH($R$67,5),6,IF(EOMONTH('Personalkosten 3. Jahr'!E32,0)=EOMONTH($R$67,6),7,IF(EOMONTH('Personalkosten 3. Jahr'!E32,0)=EOMONTH($R$67,7),8,IF(EOMONTH('Personalkosten 3. Jahr'!E32,0)=EOMONTH($R$67,8),9,IF(EOMONTH('Personalkosten 3. Jahr'!E32,0)=EOMONTH($R$67,9),10,IF(EOMONTH('Personalkosten 3. Jahr'!E32,0)=EOMONTH($R$67,10),11,IF(EOMONTH('Personalkosten 3. Jahr'!E32,0)=EOMONTH($R$67,11),12,"")))))))))))))</f>
        <v>12</v>
      </c>
    </row>
    <row r="87" spans="1:18">
      <c r="A87" s="32">
        <v>19</v>
      </c>
      <c r="B87" s="54">
        <f>IF(Q87&gt;0,IF(Q87&lt;=Hilfstabelle!$B$68=AND(R87&gt;=Hilfstabelle!$B$68),'Personalkosten 3. Jahr'!M33/(R87-Q87+1),0),IF('Personalkosten 3. Jahr'!C33&gt;0,'Personalkosten 3. Jahr'!M33/12,0))</f>
        <v>0</v>
      </c>
      <c r="C87" s="54">
        <f>IF(Q87&gt;0,IF(Q87&lt;=Hilfstabelle!$C$68=AND(R87&gt;=Hilfstabelle!$C$68),'Personalkosten 3. Jahr'!M33/(R87-Q87+1),0),IF('Personalkosten 3. Jahr'!C33&gt;0,'Personalkosten 3. Jahr'!M33/12,0))</f>
        <v>0</v>
      </c>
      <c r="D87" s="54">
        <f>IF(Q87&gt;0,IF(Q87&lt;=Hilfstabelle!$D$68=AND(R87&gt;=Hilfstabelle!$D$68),'Personalkosten 3. Jahr'!M33/(R87-Q87+1),0),IF('Personalkosten 3. Jahr'!C33&gt;0,'Personalkosten 3. Jahr'!M33/12,0))</f>
        <v>0</v>
      </c>
      <c r="E87" s="54">
        <f>IF(Q87&gt;0,IF(Q87&lt;=Hilfstabelle!$E$68=AND(R87&gt;=Hilfstabelle!$E$68),'Personalkosten 3. Jahr'!M33/(R87-Q87+1),0),IF('Personalkosten 3. Jahr'!C33&gt;0,'Personalkosten 3. Jahr'!M33/12,0))</f>
        <v>0</v>
      </c>
      <c r="F87" s="54">
        <f>IF(Q87&gt;0,IF(Q87&lt;=Hilfstabelle!$F$68=AND(R87&gt;=Hilfstabelle!$F$68),'Personalkosten 3. Jahr'!M33/(R87-Q87+1),0),IF('Personalkosten 3. Jahr'!C33&gt;0,'Personalkosten 3. Jahr'!M33/12,0))</f>
        <v>0</v>
      </c>
      <c r="G87" s="54">
        <f>IF(Q87&gt;0,IF(Q87&lt;=Hilfstabelle!$G$68=AND(R87&gt;=Hilfstabelle!$G$68),'Personalkosten 3. Jahr'!M33/(R87-Q87+1),0),IF('Personalkosten 3. Jahr'!C33&gt;0,'Personalkosten 3. Jahr'!M33/12,0))</f>
        <v>0</v>
      </c>
      <c r="H87" s="54">
        <f>IF(Q87&gt;0,IF(Q87&lt;=Hilfstabelle!$H$68=AND(R87&gt;=Hilfstabelle!$H$68),'Personalkosten 3. Jahr'!M33/(R87-Q87+1),0),IF('Personalkosten 3. Jahr'!C33&gt;0,'Personalkosten 3. Jahr'!M33/12,0))</f>
        <v>0</v>
      </c>
      <c r="I87" s="54">
        <f>IF(Q87&gt;0,IF(Q87&lt;=Hilfstabelle!$I$68=AND(R87&gt;=Hilfstabelle!$I$68),'Personalkosten 3. Jahr'!M33/(R87-Q87+1),0),IF('Personalkosten 3. Jahr'!C33&gt;0,'Personalkosten 3. Jahr'!M33/12,0))</f>
        <v>0</v>
      </c>
      <c r="J87" s="54">
        <f>IF(Q87&gt;0,IF(Q87&lt;=Hilfstabelle!$J$68=AND(R87&gt;=Hilfstabelle!$J$68),'Personalkosten 3. Jahr'!M33/(R87-Q87+1),0),IF('Personalkosten 3. Jahr'!C33&gt;0,'Personalkosten 3. Jahr'!M33/12,0))</f>
        <v>0</v>
      </c>
      <c r="K87" s="54">
        <f>IF(Q87&gt;0,IF(Q87&lt;=Hilfstabelle!$K$68=AND(R87&gt;=Hilfstabelle!$K$68),'Personalkosten 3. Jahr'!M33/(R87-Q87+1),0),IF('Personalkosten 3. Jahr'!C33&gt;0,'Personalkosten 3. Jahr'!M33/12,0))</f>
        <v>0</v>
      </c>
      <c r="L87" s="54">
        <f>IF(Q87&gt;0,IF(Q87&lt;=Hilfstabelle!$L$68=AND(R87&gt;=Hilfstabelle!$L$68),'Personalkosten 3. Jahr'!M33/(R87-Q87+1),0),IF('Personalkosten 3. Jahr'!C33&gt;0,'Personalkosten 3. Jahr'!M33/12,0))</f>
        <v>0</v>
      </c>
      <c r="M87" s="54">
        <f>IF(Q87&gt;0,IF(Q87&lt;=Hilfstabelle!$M$68=AND(R87&gt;=Hilfstabelle!$M$68),'Personalkosten 3. Jahr'!M33/(R87-Q87+1),0),IF('Personalkosten 3. Jahr'!C33&gt;0,'Personalkosten 3. Jahr'!M33/12,0))</f>
        <v>0</v>
      </c>
      <c r="N87" s="55">
        <f t="shared" si="9"/>
        <v>0</v>
      </c>
      <c r="O87" s="34"/>
      <c r="Q87" s="26">
        <f>IF('Personalkosten 3. Jahr'!D33="",1,IF(EOMONTH('Personalkosten 3. Jahr'!D33,0)=EOMONTH($R$67,0),1,IF(EOMONTH('Personalkosten 3. Jahr'!D33,0)=EOMONTH($R$67,1),2,IF(EOMONTH('Personalkosten 3. Jahr'!D33,0)=EOMONTH($R$67,2),3,IF(EOMONTH('Personalkosten 3. Jahr'!D33,0)=EOMONTH($R$67,3),4,IF(EOMONTH('Personalkosten 3. Jahr'!D33,0)=EOMONTH($R$67,4),5,IF(EOMONTH('Personalkosten 3. Jahr'!D33,0)=EOMONTH($R$67,5),6,IF(EOMONTH('Personalkosten 3. Jahr'!D33,0)=EOMONTH($R$67,6),7,IF(EOMONTH('Personalkosten 3. Jahr'!D33,0)=EOMONTH($R$67,7),8,IF(EOMONTH('Personalkosten 3. Jahr'!D33,0)=EOMONTH($R$67,8),9,IF(EOMONTH('Personalkosten 3. Jahr'!D33,0)=EOMONTH($R$67,9),10,IF(EOMONTH('Personalkosten 3. Jahr'!D33,0)=EOMONTH($R$67,10),11,IF(EOMONTH('Personalkosten 3. Jahr'!D33,0)=EOMONTH($R$67,11),12,"")))))))))))))</f>
        <v>1</v>
      </c>
      <c r="R87" s="26">
        <f>IF('Personalkosten 3. Jahr'!E33="",12,IF(EOMONTH('Personalkosten 3. Jahr'!E33,0)=EOMONTH($R$67,0),1,IF(EOMONTH('Personalkosten 3. Jahr'!E33,0)=EOMONTH($R$67,1),2,IF(EOMONTH('Personalkosten 3. Jahr'!E33,0)=EOMONTH($R$67,2),3,IF(EOMONTH('Personalkosten 3. Jahr'!E33,0)=EOMONTH($R$67,3),4,IF(EOMONTH('Personalkosten 3. Jahr'!E33,0)=EOMONTH($R$67,4),5,IF(EOMONTH('Personalkosten 3. Jahr'!E33,0)=EOMONTH($R$67,5),6,IF(EOMONTH('Personalkosten 3. Jahr'!E33,0)=EOMONTH($R$67,6),7,IF(EOMONTH('Personalkosten 3. Jahr'!E33,0)=EOMONTH($R$67,7),8,IF(EOMONTH('Personalkosten 3. Jahr'!E33,0)=EOMONTH($R$67,8),9,IF(EOMONTH('Personalkosten 3. Jahr'!E33,0)=EOMONTH($R$67,9),10,IF(EOMONTH('Personalkosten 3. Jahr'!E33,0)=EOMONTH($R$67,10),11,IF(EOMONTH('Personalkosten 3. Jahr'!E33,0)=EOMONTH($R$67,11),12,"")))))))))))))</f>
        <v>12</v>
      </c>
    </row>
    <row r="88" spans="1:18">
      <c r="A88" s="32">
        <v>20</v>
      </c>
      <c r="B88" s="54">
        <f>IF(Q88&gt;0,IF(Q88&lt;=Hilfstabelle!$B$68=AND(R88&gt;=Hilfstabelle!$B$68),'Personalkosten 3. Jahr'!M34/(R88-Q88+1),0),IF('Personalkosten 3. Jahr'!C34&gt;0,'Personalkosten 3. Jahr'!M34/12,0))</f>
        <v>0</v>
      </c>
      <c r="C88" s="54">
        <f>IF(Q88&gt;0,IF(Q88&lt;=Hilfstabelle!$C$68=AND(R88&gt;=Hilfstabelle!$C$68),'Personalkosten 3. Jahr'!M34/(R88-Q88+1),0),IF('Personalkosten 3. Jahr'!C34&gt;0,'Personalkosten 3. Jahr'!M34/12,0))</f>
        <v>0</v>
      </c>
      <c r="D88" s="54">
        <f>IF(Q88&gt;0,IF(Q88&lt;=Hilfstabelle!$D$68=AND(R88&gt;=Hilfstabelle!$D$68),'Personalkosten 3. Jahr'!M34/(R88-Q88+1),0),IF('Personalkosten 3. Jahr'!C34&gt;0,'Personalkosten 3. Jahr'!M34/12,0))</f>
        <v>0</v>
      </c>
      <c r="E88" s="54">
        <f>IF(Q88&gt;0,IF(Q88&lt;=Hilfstabelle!$E$68=AND(R88&gt;=Hilfstabelle!$E$68),'Personalkosten 3. Jahr'!M34/(R88-Q88+1),0),IF('Personalkosten 3. Jahr'!C34&gt;0,'Personalkosten 3. Jahr'!M34/12,0))</f>
        <v>0</v>
      </c>
      <c r="F88" s="54">
        <f>IF(Q88&gt;0,IF(Q88&lt;=Hilfstabelle!$F$68=AND(R88&gt;=Hilfstabelle!$F$68),'Personalkosten 3. Jahr'!M34/(R88-Q88+1),0),IF('Personalkosten 3. Jahr'!C34&gt;0,'Personalkosten 3. Jahr'!M34/12,0))</f>
        <v>0</v>
      </c>
      <c r="G88" s="54">
        <f>IF(Q88&gt;0,IF(Q88&lt;=Hilfstabelle!$G$68=AND(R88&gt;=Hilfstabelle!$G$68),'Personalkosten 3. Jahr'!M34/(R88-Q88+1),0),IF('Personalkosten 3. Jahr'!C34&gt;0,'Personalkosten 3. Jahr'!M34/12,0))</f>
        <v>0</v>
      </c>
      <c r="H88" s="54">
        <f>IF(Q88&gt;0,IF(Q88&lt;=Hilfstabelle!$H$68=AND(R88&gt;=Hilfstabelle!$H$68),'Personalkosten 3. Jahr'!M34/(R88-Q88+1),0),IF('Personalkosten 3. Jahr'!C34&gt;0,'Personalkosten 3. Jahr'!M34/12,0))</f>
        <v>0</v>
      </c>
      <c r="I88" s="54">
        <f>IF(Q88&gt;0,IF(Q88&lt;=Hilfstabelle!$I$68=AND(R88&gt;=Hilfstabelle!$I$68),'Personalkosten 3. Jahr'!M34/(R88-Q88+1),0),IF('Personalkosten 3. Jahr'!C34&gt;0,'Personalkosten 3. Jahr'!M34/12,0))</f>
        <v>0</v>
      </c>
      <c r="J88" s="54">
        <f>IF(Q88&gt;0,IF(Q88&lt;=Hilfstabelle!$J$68=AND(R88&gt;=Hilfstabelle!$J$68),'Personalkosten 3. Jahr'!M34/(R88-Q88+1),0),IF('Personalkosten 3. Jahr'!C34&gt;0,'Personalkosten 3. Jahr'!M34/12,0))</f>
        <v>0</v>
      </c>
      <c r="K88" s="54">
        <f>IF(Q88&gt;0,IF(Q88&lt;=Hilfstabelle!$K$68=AND(R88&gt;=Hilfstabelle!$K$68),'Personalkosten 3. Jahr'!M34/(R88-Q88+1),0),IF('Personalkosten 3. Jahr'!C34&gt;0,'Personalkosten 3. Jahr'!M34/12,0))</f>
        <v>0</v>
      </c>
      <c r="L88" s="54">
        <f>IF(Q88&gt;0,IF(Q88&lt;=Hilfstabelle!$L$68=AND(R88&gt;=Hilfstabelle!$L$68),'Personalkosten 3. Jahr'!M34/(R88-Q88+1),0),IF('Personalkosten 3. Jahr'!C34&gt;0,'Personalkosten 3. Jahr'!M34/12,0))</f>
        <v>0</v>
      </c>
      <c r="M88" s="54">
        <f>IF(Q88&gt;0,IF(Q88&lt;=Hilfstabelle!$M$68=AND(R88&gt;=Hilfstabelle!$M$68),'Personalkosten 3. Jahr'!M34/(R88-Q88+1),0),IF('Personalkosten 3. Jahr'!C34&gt;0,'Personalkosten 3. Jahr'!M34/12,0))</f>
        <v>0</v>
      </c>
      <c r="N88" s="55">
        <f t="shared" si="9"/>
        <v>0</v>
      </c>
      <c r="O88" s="34"/>
      <c r="Q88" s="26">
        <f>IF('Personalkosten 3. Jahr'!D34="",1,IF(EOMONTH('Personalkosten 3. Jahr'!D34,0)=EOMONTH($R$67,0),1,IF(EOMONTH('Personalkosten 3. Jahr'!D34,0)=EOMONTH($R$67,1),2,IF(EOMONTH('Personalkosten 3. Jahr'!D34,0)=EOMONTH($R$67,2),3,IF(EOMONTH('Personalkosten 3. Jahr'!D34,0)=EOMONTH($R$67,3),4,IF(EOMONTH('Personalkosten 3. Jahr'!D34,0)=EOMONTH($R$67,4),5,IF(EOMONTH('Personalkosten 3. Jahr'!D34,0)=EOMONTH($R$67,5),6,IF(EOMONTH('Personalkosten 3. Jahr'!D34,0)=EOMONTH($R$67,6),7,IF(EOMONTH('Personalkosten 3. Jahr'!D34,0)=EOMONTH($R$67,7),8,IF(EOMONTH('Personalkosten 3. Jahr'!D34,0)=EOMONTH($R$67,8),9,IF(EOMONTH('Personalkosten 3. Jahr'!D34,0)=EOMONTH($R$67,9),10,IF(EOMONTH('Personalkosten 3. Jahr'!D34,0)=EOMONTH($R$67,10),11,IF(EOMONTH('Personalkosten 3. Jahr'!D34,0)=EOMONTH($R$67,11),12,"")))))))))))))</f>
        <v>1</v>
      </c>
      <c r="R88" s="26">
        <f>IF('Personalkosten 3. Jahr'!E34="",12,IF(EOMONTH('Personalkosten 3. Jahr'!E34,0)=EOMONTH($R$67,0),1,IF(EOMONTH('Personalkosten 3. Jahr'!E34,0)=EOMONTH($R$67,1),2,IF(EOMONTH('Personalkosten 3. Jahr'!E34,0)=EOMONTH($R$67,2),3,IF(EOMONTH('Personalkosten 3. Jahr'!E34,0)=EOMONTH($R$67,3),4,IF(EOMONTH('Personalkosten 3. Jahr'!E34,0)=EOMONTH($R$67,4),5,IF(EOMONTH('Personalkosten 3. Jahr'!E34,0)=EOMONTH($R$67,5),6,IF(EOMONTH('Personalkosten 3. Jahr'!E34,0)=EOMONTH($R$67,6),7,IF(EOMONTH('Personalkosten 3. Jahr'!E34,0)=EOMONTH($R$67,7),8,IF(EOMONTH('Personalkosten 3. Jahr'!E34,0)=EOMONTH($R$67,8),9,IF(EOMONTH('Personalkosten 3. Jahr'!E34,0)=EOMONTH($R$67,9),10,IF(EOMONTH('Personalkosten 3. Jahr'!E34,0)=EOMONTH($R$67,10),11,IF(EOMONTH('Personalkosten 3. Jahr'!E34,0)=EOMONTH($R$67,11),12,"")))))))))))))</f>
        <v>12</v>
      </c>
    </row>
    <row r="89" spans="1:18">
      <c r="A89" s="32">
        <v>21</v>
      </c>
      <c r="B89" s="54">
        <f>IF(Q89&gt;0,IF(Q89&lt;=Hilfstabelle!$B$68=AND(R89&gt;=Hilfstabelle!$B$68),'Personalkosten 3. Jahr'!M35/(R89-Q89+1),0),IF('Personalkosten 3. Jahr'!C35&gt;0,'Personalkosten 3. Jahr'!M35/12,0))</f>
        <v>0</v>
      </c>
      <c r="C89" s="54">
        <f>IF(Q89&gt;0,IF(Q89&lt;=Hilfstabelle!$C$68=AND(R89&gt;=Hilfstabelle!$C$68),'Personalkosten 3. Jahr'!M35/(R89-Q89+1),0),IF('Personalkosten 3. Jahr'!C35&gt;0,'Personalkosten 3. Jahr'!M35/12,0))</f>
        <v>0</v>
      </c>
      <c r="D89" s="54">
        <f>IF(Q89&gt;0,IF(Q89&lt;=Hilfstabelle!$D$68=AND(R89&gt;=Hilfstabelle!$D$68),'Personalkosten 3. Jahr'!M35/(R89-Q89+1),0),IF('Personalkosten 3. Jahr'!C35&gt;0,'Personalkosten 3. Jahr'!M35/12,0))</f>
        <v>0</v>
      </c>
      <c r="E89" s="54">
        <f>IF(Q89&gt;0,IF(Q89&lt;=Hilfstabelle!$E$68=AND(R89&gt;=Hilfstabelle!$E$68),'Personalkosten 3. Jahr'!M35/(R89-Q89+1),0),IF('Personalkosten 3. Jahr'!C35&gt;0,'Personalkosten 3. Jahr'!M35/12,0))</f>
        <v>0</v>
      </c>
      <c r="F89" s="54">
        <f>IF(Q89&gt;0,IF(Q89&lt;=Hilfstabelle!$F$68=AND(R89&gt;=Hilfstabelle!$F$68),'Personalkosten 3. Jahr'!M35/(R89-Q89+1),0),IF('Personalkosten 3. Jahr'!C35&gt;0,'Personalkosten 3. Jahr'!M35/12,0))</f>
        <v>0</v>
      </c>
      <c r="G89" s="54">
        <f>IF(Q89&gt;0,IF(Q89&lt;=Hilfstabelle!$G$68=AND(R89&gt;=Hilfstabelle!$G$68),'Personalkosten 3. Jahr'!M35/(R89-Q89+1),0),IF('Personalkosten 3. Jahr'!C35&gt;0,'Personalkosten 3. Jahr'!M35/12,0))</f>
        <v>0</v>
      </c>
      <c r="H89" s="54">
        <f>IF(Q89&gt;0,IF(Q89&lt;=Hilfstabelle!$H$68=AND(R89&gt;=Hilfstabelle!$H$68),'Personalkosten 3. Jahr'!M35/(R89-Q89+1),0),IF('Personalkosten 3. Jahr'!C35&gt;0,'Personalkosten 3. Jahr'!M35/12,0))</f>
        <v>0</v>
      </c>
      <c r="I89" s="54">
        <f>IF(Q89&gt;0,IF(Q89&lt;=Hilfstabelle!$I$68=AND(R89&gt;=Hilfstabelle!$I$68),'Personalkosten 3. Jahr'!M35/(R89-Q89+1),0),IF('Personalkosten 3. Jahr'!C35&gt;0,'Personalkosten 3. Jahr'!M35/12,0))</f>
        <v>0</v>
      </c>
      <c r="J89" s="54">
        <f>IF(Q89&gt;0,IF(Q89&lt;=Hilfstabelle!$J$68=AND(R89&gt;=Hilfstabelle!$J$68),'Personalkosten 3. Jahr'!M35/(R89-Q89+1),0),IF('Personalkosten 3. Jahr'!C35&gt;0,'Personalkosten 3. Jahr'!M35/12,0))</f>
        <v>0</v>
      </c>
      <c r="K89" s="54">
        <f>IF(Q89&gt;0,IF(Q89&lt;=Hilfstabelle!$K$68=AND(R89&gt;=Hilfstabelle!$K$68),'Personalkosten 3. Jahr'!M35/(R89-Q89+1),0),IF('Personalkosten 3. Jahr'!C35&gt;0,'Personalkosten 3. Jahr'!M35/12,0))</f>
        <v>0</v>
      </c>
      <c r="L89" s="54">
        <f>IF(Q89&gt;0,IF(Q89&lt;=Hilfstabelle!$L$68=AND(R89&gt;=Hilfstabelle!$L$68),'Personalkosten 3. Jahr'!M35/(R89-Q89+1),0),IF('Personalkosten 3. Jahr'!C35&gt;0,'Personalkosten 3. Jahr'!M35/12,0))</f>
        <v>0</v>
      </c>
      <c r="M89" s="54">
        <f>IF(Q89&gt;0,IF(Q89&lt;=Hilfstabelle!$M$68=AND(R89&gt;=Hilfstabelle!$M$68),'Personalkosten 3. Jahr'!M35/(R89-Q89+1),0),IF('Personalkosten 3. Jahr'!C35&gt;0,'Personalkosten 3. Jahr'!M35/12,0))</f>
        <v>0</v>
      </c>
      <c r="N89" s="55">
        <f t="shared" si="9"/>
        <v>0</v>
      </c>
      <c r="O89" s="34"/>
      <c r="Q89" s="26">
        <f>IF('Personalkosten 3. Jahr'!D35="",1,IF(EOMONTH('Personalkosten 3. Jahr'!D35,0)=EOMONTH($R$67,0),1,IF(EOMONTH('Personalkosten 3. Jahr'!D35,0)=EOMONTH($R$67,1),2,IF(EOMONTH('Personalkosten 3. Jahr'!D35,0)=EOMONTH($R$67,2),3,IF(EOMONTH('Personalkosten 3. Jahr'!D35,0)=EOMONTH($R$67,3),4,IF(EOMONTH('Personalkosten 3. Jahr'!D35,0)=EOMONTH($R$67,4),5,IF(EOMONTH('Personalkosten 3. Jahr'!D35,0)=EOMONTH($R$67,5),6,IF(EOMONTH('Personalkosten 3. Jahr'!D35,0)=EOMONTH($R$67,6),7,IF(EOMONTH('Personalkosten 3. Jahr'!D35,0)=EOMONTH($R$67,7),8,IF(EOMONTH('Personalkosten 3. Jahr'!D35,0)=EOMONTH($R$67,8),9,IF(EOMONTH('Personalkosten 3. Jahr'!D35,0)=EOMONTH($R$67,9),10,IF(EOMONTH('Personalkosten 3. Jahr'!D35,0)=EOMONTH($R$67,10),11,IF(EOMONTH('Personalkosten 3. Jahr'!D35,0)=EOMONTH($R$67,11),12,"")))))))))))))</f>
        <v>1</v>
      </c>
      <c r="R89" s="26">
        <f>IF('Personalkosten 3. Jahr'!E35="",12,IF(EOMONTH('Personalkosten 3. Jahr'!E35,0)=EOMONTH($R$67,0),1,IF(EOMONTH('Personalkosten 3. Jahr'!E35,0)=EOMONTH($R$67,1),2,IF(EOMONTH('Personalkosten 3. Jahr'!E35,0)=EOMONTH($R$67,2),3,IF(EOMONTH('Personalkosten 3. Jahr'!E35,0)=EOMONTH($R$67,3),4,IF(EOMONTH('Personalkosten 3. Jahr'!E35,0)=EOMONTH($R$67,4),5,IF(EOMONTH('Personalkosten 3. Jahr'!E35,0)=EOMONTH($R$67,5),6,IF(EOMONTH('Personalkosten 3. Jahr'!E35,0)=EOMONTH($R$67,6),7,IF(EOMONTH('Personalkosten 3. Jahr'!E35,0)=EOMONTH($R$67,7),8,IF(EOMONTH('Personalkosten 3. Jahr'!E35,0)=EOMONTH($R$67,8),9,IF(EOMONTH('Personalkosten 3. Jahr'!E35,0)=EOMONTH($R$67,9),10,IF(EOMONTH('Personalkosten 3. Jahr'!E35,0)=EOMONTH($R$67,10),11,IF(EOMONTH('Personalkosten 3. Jahr'!E35,0)=EOMONTH($R$67,11),12,"")))))))))))))</f>
        <v>12</v>
      </c>
    </row>
    <row r="90" spans="1:18">
      <c r="A90" s="32">
        <v>22</v>
      </c>
      <c r="B90" s="54">
        <f>IF(Q90&gt;0,IF(Q90&lt;=Hilfstabelle!$B$68=AND(R90&gt;=Hilfstabelle!$B$68),'Personalkosten 3. Jahr'!M36/(R90-Q90+1),0),IF('Personalkosten 3. Jahr'!C36&gt;0,'Personalkosten 3. Jahr'!M36/12,0))</f>
        <v>0</v>
      </c>
      <c r="C90" s="54">
        <f>IF(Q90&gt;0,IF(Q90&lt;=Hilfstabelle!$C$68=AND(R90&gt;=Hilfstabelle!$C$68),'Personalkosten 3. Jahr'!M36/(R90-Q90+1),0),IF('Personalkosten 3. Jahr'!C36&gt;0,'Personalkosten 3. Jahr'!M36/12,0))</f>
        <v>0</v>
      </c>
      <c r="D90" s="54">
        <f>IF(Q90&gt;0,IF(Q90&lt;=Hilfstabelle!$D$68=AND(R90&gt;=Hilfstabelle!$D$68),'Personalkosten 3. Jahr'!M36/(R90-Q90+1),0),IF('Personalkosten 3. Jahr'!C36&gt;0,'Personalkosten 3. Jahr'!M36/12,0))</f>
        <v>0</v>
      </c>
      <c r="E90" s="54">
        <f>IF(Q90&gt;0,IF(Q90&lt;=Hilfstabelle!$E$68=AND(R90&gt;=Hilfstabelle!$E$68),'Personalkosten 3. Jahr'!M36/(R90-Q90+1),0),IF('Personalkosten 3. Jahr'!C36&gt;0,'Personalkosten 3. Jahr'!M36/12,0))</f>
        <v>0</v>
      </c>
      <c r="F90" s="54">
        <f>IF(Q90&gt;0,IF(Q90&lt;=Hilfstabelle!$F$68=AND(R90&gt;=Hilfstabelle!$F$68),'Personalkosten 3. Jahr'!M36/(R90-Q90+1),0),IF('Personalkosten 3. Jahr'!C36&gt;0,'Personalkosten 3. Jahr'!M36/12,0))</f>
        <v>0</v>
      </c>
      <c r="G90" s="54">
        <f>IF(Q90&gt;0,IF(Q90&lt;=Hilfstabelle!$G$68=AND(R90&gt;=Hilfstabelle!$G$68),'Personalkosten 3. Jahr'!M36/(R90-Q90+1),0),IF('Personalkosten 3. Jahr'!C36&gt;0,'Personalkosten 3. Jahr'!M36/12,0))</f>
        <v>0</v>
      </c>
      <c r="H90" s="54">
        <f>IF(Q90&gt;0,IF(Q90&lt;=Hilfstabelle!$H$68=AND(R90&gt;=Hilfstabelle!$H$68),'Personalkosten 3. Jahr'!M36/(R90-Q90+1),0),IF('Personalkosten 3. Jahr'!C36&gt;0,'Personalkosten 3. Jahr'!M36/12,0))</f>
        <v>0</v>
      </c>
      <c r="I90" s="54">
        <f>IF(Q90&gt;0,IF(Q90&lt;=Hilfstabelle!$I$68=AND(R90&gt;=Hilfstabelle!$I$68),'Personalkosten 3. Jahr'!M36/(R90-Q90+1),0),IF('Personalkosten 3. Jahr'!C36&gt;0,'Personalkosten 3. Jahr'!M36/12,0))</f>
        <v>0</v>
      </c>
      <c r="J90" s="54">
        <f>IF(Q90&gt;0,IF(Q90&lt;=Hilfstabelle!$J$68=AND(R90&gt;=Hilfstabelle!$J$68),'Personalkosten 3. Jahr'!M36/(R90-Q90+1),0),IF('Personalkosten 3. Jahr'!C36&gt;0,'Personalkosten 3. Jahr'!M36/12,0))</f>
        <v>0</v>
      </c>
      <c r="K90" s="54">
        <f>IF(Q90&gt;0,IF(Q90&lt;=Hilfstabelle!$K$68=AND(R90&gt;=Hilfstabelle!$K$68),'Personalkosten 3. Jahr'!M36/(R90-Q90+1),0),IF('Personalkosten 3. Jahr'!C36&gt;0,'Personalkosten 3. Jahr'!M36/12,0))</f>
        <v>0</v>
      </c>
      <c r="L90" s="54">
        <f>IF(Q90&gt;0,IF(Q90&lt;=Hilfstabelle!$L$68=AND(R90&gt;=Hilfstabelle!$L$68),'Personalkosten 3. Jahr'!M36/(R90-Q90+1),0),IF('Personalkosten 3. Jahr'!C36&gt;0,'Personalkosten 3. Jahr'!M36/12,0))</f>
        <v>0</v>
      </c>
      <c r="M90" s="54">
        <f>IF(Q90&gt;0,IF(Q90&lt;=Hilfstabelle!$M$68=AND(R90&gt;=Hilfstabelle!$M$68),'Personalkosten 3. Jahr'!M36/(R90-Q90+1),0),IF('Personalkosten 3. Jahr'!C36&gt;0,'Personalkosten 3. Jahr'!M36/12,0))</f>
        <v>0</v>
      </c>
      <c r="N90" s="55">
        <f t="shared" si="9"/>
        <v>0</v>
      </c>
      <c r="O90" s="34"/>
      <c r="Q90" s="26">
        <f>IF('Personalkosten 3. Jahr'!D36="",1,IF(EOMONTH('Personalkosten 3. Jahr'!D36,0)=EOMONTH($R$67,0),1,IF(EOMONTH('Personalkosten 3. Jahr'!D36,0)=EOMONTH($R$67,1),2,IF(EOMONTH('Personalkosten 3. Jahr'!D36,0)=EOMONTH($R$67,2),3,IF(EOMONTH('Personalkosten 3. Jahr'!D36,0)=EOMONTH($R$67,3),4,IF(EOMONTH('Personalkosten 3. Jahr'!D36,0)=EOMONTH($R$67,4),5,IF(EOMONTH('Personalkosten 3. Jahr'!D36,0)=EOMONTH($R$67,5),6,IF(EOMONTH('Personalkosten 3. Jahr'!D36,0)=EOMONTH($R$67,6),7,IF(EOMONTH('Personalkosten 3. Jahr'!D36,0)=EOMONTH($R$67,7),8,IF(EOMONTH('Personalkosten 3. Jahr'!D36,0)=EOMONTH($R$67,8),9,IF(EOMONTH('Personalkosten 3. Jahr'!D36,0)=EOMONTH($R$67,9),10,IF(EOMONTH('Personalkosten 3. Jahr'!D36,0)=EOMONTH($R$67,10),11,IF(EOMONTH('Personalkosten 3. Jahr'!D36,0)=EOMONTH($R$67,11),12,"")))))))))))))</f>
        <v>1</v>
      </c>
      <c r="R90" s="26">
        <f>IF('Personalkosten 3. Jahr'!E36="",12,IF(EOMONTH('Personalkosten 3. Jahr'!E36,0)=EOMONTH($R$67,0),1,IF(EOMONTH('Personalkosten 3. Jahr'!E36,0)=EOMONTH($R$67,1),2,IF(EOMONTH('Personalkosten 3. Jahr'!E36,0)=EOMONTH($R$67,2),3,IF(EOMONTH('Personalkosten 3. Jahr'!E36,0)=EOMONTH($R$67,3),4,IF(EOMONTH('Personalkosten 3. Jahr'!E36,0)=EOMONTH($R$67,4),5,IF(EOMONTH('Personalkosten 3. Jahr'!E36,0)=EOMONTH($R$67,5),6,IF(EOMONTH('Personalkosten 3. Jahr'!E36,0)=EOMONTH($R$67,6),7,IF(EOMONTH('Personalkosten 3. Jahr'!E36,0)=EOMONTH($R$67,7),8,IF(EOMONTH('Personalkosten 3. Jahr'!E36,0)=EOMONTH($R$67,8),9,IF(EOMONTH('Personalkosten 3. Jahr'!E36,0)=EOMONTH($R$67,9),10,IF(EOMONTH('Personalkosten 3. Jahr'!E36,0)=EOMONTH($R$67,10),11,IF(EOMONTH('Personalkosten 3. Jahr'!E36,0)=EOMONTH($R$67,11),12,"")))))))))))))</f>
        <v>12</v>
      </c>
    </row>
    <row r="91" spans="1:18">
      <c r="A91" s="32">
        <v>23</v>
      </c>
      <c r="B91" s="54">
        <f>IF(Q91&gt;0,IF(Q91&lt;=Hilfstabelle!$B$68=AND(R91&gt;=Hilfstabelle!$B$68),'Personalkosten 3. Jahr'!M37/(R91-Q91+1),0),IF('Personalkosten 3. Jahr'!C37&gt;0,'Personalkosten 3. Jahr'!M37/12,0))</f>
        <v>0</v>
      </c>
      <c r="C91" s="54">
        <f>IF(Q91&gt;0,IF(Q91&lt;=Hilfstabelle!$C$68=AND(R91&gt;=Hilfstabelle!$C$68),'Personalkosten 3. Jahr'!M37/(R91-Q91+1),0),IF('Personalkosten 3. Jahr'!C37&gt;0,'Personalkosten 3. Jahr'!M37/12,0))</f>
        <v>0</v>
      </c>
      <c r="D91" s="54">
        <f>IF(Q91&gt;0,IF(Q91&lt;=Hilfstabelle!$D$68=AND(R91&gt;=Hilfstabelle!$D$68),'Personalkosten 3. Jahr'!M37/(R91-Q91+1),0),IF('Personalkosten 3. Jahr'!C37&gt;0,'Personalkosten 3. Jahr'!M37/12,0))</f>
        <v>0</v>
      </c>
      <c r="E91" s="54">
        <f>IF(Q91&gt;0,IF(Q91&lt;=Hilfstabelle!$E$68=AND(R91&gt;=Hilfstabelle!$E$68),'Personalkosten 3. Jahr'!M37/(R91-Q91+1),0),IF('Personalkosten 3. Jahr'!C37&gt;0,'Personalkosten 3. Jahr'!M37/12,0))</f>
        <v>0</v>
      </c>
      <c r="F91" s="54">
        <f>IF(Q91&gt;0,IF(Q91&lt;=Hilfstabelle!$F$68=AND(R91&gt;=Hilfstabelle!$F$68),'Personalkosten 3. Jahr'!M37/(R91-Q91+1),0),IF('Personalkosten 3. Jahr'!C37&gt;0,'Personalkosten 3. Jahr'!M37/12,0))</f>
        <v>0</v>
      </c>
      <c r="G91" s="54">
        <f>IF(Q91&gt;0,IF(Q91&lt;=Hilfstabelle!$G$68=AND(R91&gt;=Hilfstabelle!$G$68),'Personalkosten 3. Jahr'!M37/(R91-Q91+1),0),IF('Personalkosten 3. Jahr'!C37&gt;0,'Personalkosten 3. Jahr'!M37/12,0))</f>
        <v>0</v>
      </c>
      <c r="H91" s="54">
        <f>IF(Q91&gt;0,IF(Q91&lt;=Hilfstabelle!$H$68=AND(R91&gt;=Hilfstabelle!$H$68),'Personalkosten 3. Jahr'!M37/(R91-Q91+1),0),IF('Personalkosten 3. Jahr'!C37&gt;0,'Personalkosten 3. Jahr'!M37/12,0))</f>
        <v>0</v>
      </c>
      <c r="I91" s="54">
        <f>IF(Q91&gt;0,IF(Q91&lt;=Hilfstabelle!$I$68=AND(R91&gt;=Hilfstabelle!$I$68),'Personalkosten 3. Jahr'!M37/(R91-Q91+1),0),IF('Personalkosten 3. Jahr'!C37&gt;0,'Personalkosten 3. Jahr'!M37/12,0))</f>
        <v>0</v>
      </c>
      <c r="J91" s="54">
        <f>IF(Q91&gt;0,IF(Q91&lt;=Hilfstabelle!$J$68=AND(R91&gt;=Hilfstabelle!$J$68),'Personalkosten 3. Jahr'!M37/(R91-Q91+1),0),IF('Personalkosten 3. Jahr'!C37&gt;0,'Personalkosten 3. Jahr'!M37/12,0))</f>
        <v>0</v>
      </c>
      <c r="K91" s="54">
        <f>IF(Q91&gt;0,IF(Q91&lt;=Hilfstabelle!$K$68=AND(R91&gt;=Hilfstabelle!$K$68),'Personalkosten 3. Jahr'!M37/(R91-Q91+1),0),IF('Personalkosten 3. Jahr'!C37&gt;0,'Personalkosten 3. Jahr'!M37/12,0))</f>
        <v>0</v>
      </c>
      <c r="L91" s="54">
        <f>IF(Q91&gt;0,IF(Q91&lt;=Hilfstabelle!$L$68=AND(R91&gt;=Hilfstabelle!$L$68),'Personalkosten 3. Jahr'!M37/(R91-Q91+1),0),IF('Personalkosten 3. Jahr'!C37&gt;0,'Personalkosten 3. Jahr'!M37/12,0))</f>
        <v>0</v>
      </c>
      <c r="M91" s="54">
        <f>IF(Q91&gt;0,IF(Q91&lt;=Hilfstabelle!$M$68=AND(R91&gt;=Hilfstabelle!$M$68),'Personalkosten 3. Jahr'!M37/(R91-Q91+1),0),IF('Personalkosten 3. Jahr'!C37&gt;0,'Personalkosten 3. Jahr'!M37/12,0))</f>
        <v>0</v>
      </c>
      <c r="N91" s="55">
        <f t="shared" si="9"/>
        <v>0</v>
      </c>
      <c r="O91" s="34"/>
      <c r="Q91" s="26">
        <f>IF('Personalkosten 3. Jahr'!D37="",1,IF(EOMONTH('Personalkosten 3. Jahr'!D37,0)=EOMONTH($R$67,0),1,IF(EOMONTH('Personalkosten 3. Jahr'!D37,0)=EOMONTH($R$67,1),2,IF(EOMONTH('Personalkosten 3. Jahr'!D37,0)=EOMONTH($R$67,2),3,IF(EOMONTH('Personalkosten 3. Jahr'!D37,0)=EOMONTH($R$67,3),4,IF(EOMONTH('Personalkosten 3. Jahr'!D37,0)=EOMONTH($R$67,4),5,IF(EOMONTH('Personalkosten 3. Jahr'!D37,0)=EOMONTH($R$67,5),6,IF(EOMONTH('Personalkosten 3. Jahr'!D37,0)=EOMONTH($R$67,6),7,IF(EOMONTH('Personalkosten 3. Jahr'!D37,0)=EOMONTH($R$67,7),8,IF(EOMONTH('Personalkosten 3. Jahr'!D37,0)=EOMONTH($R$67,8),9,IF(EOMONTH('Personalkosten 3. Jahr'!D37,0)=EOMONTH($R$67,9),10,IF(EOMONTH('Personalkosten 3. Jahr'!D37,0)=EOMONTH($R$67,10),11,IF(EOMONTH('Personalkosten 3. Jahr'!D37,0)=EOMONTH($R$67,11),12,"")))))))))))))</f>
        <v>1</v>
      </c>
      <c r="R91" s="26">
        <f>IF('Personalkosten 3. Jahr'!E37="",12,IF(EOMONTH('Personalkosten 3. Jahr'!E37,0)=EOMONTH($R$67,0),1,IF(EOMONTH('Personalkosten 3. Jahr'!E37,0)=EOMONTH($R$67,1),2,IF(EOMONTH('Personalkosten 3. Jahr'!E37,0)=EOMONTH($R$67,2),3,IF(EOMONTH('Personalkosten 3. Jahr'!E37,0)=EOMONTH($R$67,3),4,IF(EOMONTH('Personalkosten 3. Jahr'!E37,0)=EOMONTH($R$67,4),5,IF(EOMONTH('Personalkosten 3. Jahr'!E37,0)=EOMONTH($R$67,5),6,IF(EOMONTH('Personalkosten 3. Jahr'!E37,0)=EOMONTH($R$67,6),7,IF(EOMONTH('Personalkosten 3. Jahr'!E37,0)=EOMONTH($R$67,7),8,IF(EOMONTH('Personalkosten 3. Jahr'!E37,0)=EOMONTH($R$67,8),9,IF(EOMONTH('Personalkosten 3. Jahr'!E37,0)=EOMONTH($R$67,9),10,IF(EOMONTH('Personalkosten 3. Jahr'!E37,0)=EOMONTH($R$67,10),11,IF(EOMONTH('Personalkosten 3. Jahr'!E37,0)=EOMONTH($R$67,11),12,"")))))))))))))</f>
        <v>12</v>
      </c>
    </row>
    <row r="92" spans="1:18">
      <c r="A92" s="32">
        <v>24</v>
      </c>
      <c r="B92" s="54">
        <f>IF(Q92&gt;0,IF(Q92&lt;=Hilfstabelle!$B$68=AND(R92&gt;=Hilfstabelle!$B$68),'Personalkosten 3. Jahr'!M38/(R92-Q92+1),0),IF('Personalkosten 3. Jahr'!C38&gt;0,'Personalkosten 3. Jahr'!M38/12,0))</f>
        <v>0</v>
      </c>
      <c r="C92" s="54">
        <f>IF(Q92&gt;0,IF(Q92&lt;=Hilfstabelle!$C$68=AND(R92&gt;=Hilfstabelle!$C$68),'Personalkosten 3. Jahr'!M38/(R92-Q92+1),0),IF('Personalkosten 3. Jahr'!C38&gt;0,'Personalkosten 3. Jahr'!M38/12,0))</f>
        <v>0</v>
      </c>
      <c r="D92" s="54">
        <f>IF(Q92&gt;0,IF(Q92&lt;=Hilfstabelle!$D$68=AND(R92&gt;=Hilfstabelle!$D$68),'Personalkosten 3. Jahr'!M38/(R92-Q92+1),0),IF('Personalkosten 3. Jahr'!C38&gt;0,'Personalkosten 3. Jahr'!M38/12,0))</f>
        <v>0</v>
      </c>
      <c r="E92" s="54">
        <f>IF(Q92&gt;0,IF(Q92&lt;=Hilfstabelle!$E$68=AND(R92&gt;=Hilfstabelle!$E$68),'Personalkosten 3. Jahr'!M38/(R92-Q92+1),0),IF('Personalkosten 3. Jahr'!C38&gt;0,'Personalkosten 3. Jahr'!M38/12,0))</f>
        <v>0</v>
      </c>
      <c r="F92" s="54">
        <f>IF(Q92&gt;0,IF(Q92&lt;=Hilfstabelle!$F$68=AND(R92&gt;=Hilfstabelle!$F$68),'Personalkosten 3. Jahr'!M38/(R92-Q92+1),0),IF('Personalkosten 3. Jahr'!C38&gt;0,'Personalkosten 3. Jahr'!M38/12,0))</f>
        <v>0</v>
      </c>
      <c r="G92" s="54">
        <f>IF(Q92&gt;0,IF(Q92&lt;=Hilfstabelle!$G$68=AND(R92&gt;=Hilfstabelle!$G$68),'Personalkosten 3. Jahr'!M38/(R92-Q92+1),0),IF('Personalkosten 3. Jahr'!C38&gt;0,'Personalkosten 3. Jahr'!M38/12,0))</f>
        <v>0</v>
      </c>
      <c r="H92" s="54">
        <f>IF(Q92&gt;0,IF(Q92&lt;=Hilfstabelle!$H$68=AND(R92&gt;=Hilfstabelle!$H$68),'Personalkosten 3. Jahr'!M38/(R92-Q92+1),0),IF('Personalkosten 3. Jahr'!C38&gt;0,'Personalkosten 3. Jahr'!M38/12,0))</f>
        <v>0</v>
      </c>
      <c r="I92" s="54">
        <f>IF(Q92&gt;0,IF(Q92&lt;=Hilfstabelle!$I$68=AND(R92&gt;=Hilfstabelle!$I$68),'Personalkosten 3. Jahr'!M38/(R92-Q92+1),0),IF('Personalkosten 3. Jahr'!C38&gt;0,'Personalkosten 3. Jahr'!M38/12,0))</f>
        <v>0</v>
      </c>
      <c r="J92" s="54">
        <f>IF(Q92&gt;0,IF(Q92&lt;=Hilfstabelle!$J$68=AND(R92&gt;=Hilfstabelle!$J$68),'Personalkosten 3. Jahr'!M38/(R92-Q92+1),0),IF('Personalkosten 3. Jahr'!C38&gt;0,'Personalkosten 3. Jahr'!M38/12,0))</f>
        <v>0</v>
      </c>
      <c r="K92" s="54">
        <f>IF(Q92&gt;0,IF(Q92&lt;=Hilfstabelle!$K$68=AND(R92&gt;=Hilfstabelle!$K$68),'Personalkosten 3. Jahr'!M38/(R92-Q92+1),0),IF('Personalkosten 3. Jahr'!C38&gt;0,'Personalkosten 3. Jahr'!M38/12,0))</f>
        <v>0</v>
      </c>
      <c r="L92" s="54">
        <f>IF(Q92&gt;0,IF(Q92&lt;=Hilfstabelle!$L$68=AND(R92&gt;=Hilfstabelle!$L$68),'Personalkosten 3. Jahr'!M38/(R92-Q92+1),0),IF('Personalkosten 3. Jahr'!C38&gt;0,'Personalkosten 3. Jahr'!M38/12,0))</f>
        <v>0</v>
      </c>
      <c r="M92" s="54">
        <f>IF(Q92&gt;0,IF(Q92&lt;=Hilfstabelle!$M$68=AND(R92&gt;=Hilfstabelle!$M$68),'Personalkosten 3. Jahr'!M38/(R92-Q92+1),0),IF('Personalkosten 3. Jahr'!C38&gt;0,'Personalkosten 3. Jahr'!M38/12,0))</f>
        <v>0</v>
      </c>
      <c r="N92" s="55">
        <f t="shared" si="9"/>
        <v>0</v>
      </c>
      <c r="O92" s="34"/>
      <c r="Q92" s="26">
        <f>IF('Personalkosten 3. Jahr'!D38="",1,IF(EOMONTH('Personalkosten 3. Jahr'!D38,0)=EOMONTH($R$67,0),1,IF(EOMONTH('Personalkosten 3. Jahr'!D38,0)=EOMONTH($R$67,1),2,IF(EOMONTH('Personalkosten 3. Jahr'!D38,0)=EOMONTH($R$67,2),3,IF(EOMONTH('Personalkosten 3. Jahr'!D38,0)=EOMONTH($R$67,3),4,IF(EOMONTH('Personalkosten 3. Jahr'!D38,0)=EOMONTH($R$67,4),5,IF(EOMONTH('Personalkosten 3. Jahr'!D38,0)=EOMONTH($R$67,5),6,IF(EOMONTH('Personalkosten 3. Jahr'!D38,0)=EOMONTH($R$67,6),7,IF(EOMONTH('Personalkosten 3. Jahr'!D38,0)=EOMONTH($R$67,7),8,IF(EOMONTH('Personalkosten 3. Jahr'!D38,0)=EOMONTH($R$67,8),9,IF(EOMONTH('Personalkosten 3. Jahr'!D38,0)=EOMONTH($R$67,9),10,IF(EOMONTH('Personalkosten 3. Jahr'!D38,0)=EOMONTH($R$67,10),11,IF(EOMONTH('Personalkosten 3. Jahr'!D38,0)=EOMONTH($R$67,11),12,"")))))))))))))</f>
        <v>1</v>
      </c>
      <c r="R92" s="26">
        <f>IF('Personalkosten 3. Jahr'!E38="",12,IF(EOMONTH('Personalkosten 3. Jahr'!E38,0)=EOMONTH($R$67,0),1,IF(EOMONTH('Personalkosten 3. Jahr'!E38,0)=EOMONTH($R$67,1),2,IF(EOMONTH('Personalkosten 3. Jahr'!E38,0)=EOMONTH($R$67,2),3,IF(EOMONTH('Personalkosten 3. Jahr'!E38,0)=EOMONTH($R$67,3),4,IF(EOMONTH('Personalkosten 3. Jahr'!E38,0)=EOMONTH($R$67,4),5,IF(EOMONTH('Personalkosten 3. Jahr'!E38,0)=EOMONTH($R$67,5),6,IF(EOMONTH('Personalkosten 3. Jahr'!E38,0)=EOMONTH($R$67,6),7,IF(EOMONTH('Personalkosten 3. Jahr'!E38,0)=EOMONTH($R$67,7),8,IF(EOMONTH('Personalkosten 3. Jahr'!E38,0)=EOMONTH($R$67,8),9,IF(EOMONTH('Personalkosten 3. Jahr'!E38,0)=EOMONTH($R$67,9),10,IF(EOMONTH('Personalkosten 3. Jahr'!E38,0)=EOMONTH($R$67,10),11,IF(EOMONTH('Personalkosten 3. Jahr'!E38,0)=EOMONTH($R$67,11),12,"")))))))))))))</f>
        <v>12</v>
      </c>
    </row>
    <row r="93" spans="1:18">
      <c r="A93" s="32" t="s">
        <v>352</v>
      </c>
      <c r="B93" s="56" t="e">
        <f>('Personalkosten 3. Jahr'!$M$40+'Personalkosten 3. Jahr'!$M$41)*Hilfstabelle!B94/'Personalkosten 3. Jahr'!$M$39</f>
        <v>#DIV/0!</v>
      </c>
      <c r="C93" s="56" t="e">
        <f>('Personalkosten 3. Jahr'!$M$40+'Personalkosten 3. Jahr'!$M$41)*Hilfstabelle!C94/'Personalkosten 3. Jahr'!$M$39</f>
        <v>#DIV/0!</v>
      </c>
      <c r="D93" s="56" t="e">
        <f>('Personalkosten 3. Jahr'!$M$40+'Personalkosten 3. Jahr'!$M$41)*Hilfstabelle!D94/'Personalkosten 3. Jahr'!$M$39</f>
        <v>#DIV/0!</v>
      </c>
      <c r="E93" s="56" t="e">
        <f>('Personalkosten 3. Jahr'!$M$40+'Personalkosten 3. Jahr'!$M$41)*Hilfstabelle!E94/'Personalkosten 3. Jahr'!$M$39</f>
        <v>#DIV/0!</v>
      </c>
      <c r="F93" s="56" t="e">
        <f>('Personalkosten 3. Jahr'!$M$40+'Personalkosten 3. Jahr'!$M$41)*Hilfstabelle!F94/'Personalkosten 3. Jahr'!$M$39</f>
        <v>#DIV/0!</v>
      </c>
      <c r="G93" s="56" t="e">
        <f>('Personalkosten 3. Jahr'!$M$40+'Personalkosten 3. Jahr'!$M$41)*Hilfstabelle!G94/'Personalkosten 3. Jahr'!$M$39</f>
        <v>#DIV/0!</v>
      </c>
      <c r="H93" s="56" t="e">
        <f>('Personalkosten 3. Jahr'!$M$40+'Personalkosten 3. Jahr'!$M$41)*Hilfstabelle!H94/'Personalkosten 3. Jahr'!$M$39</f>
        <v>#DIV/0!</v>
      </c>
      <c r="I93" s="56" t="e">
        <f>('Personalkosten 3. Jahr'!$M$40+'Personalkosten 3. Jahr'!$M$41)*Hilfstabelle!I94/'Personalkosten 3. Jahr'!$M$39</f>
        <v>#DIV/0!</v>
      </c>
      <c r="J93" s="56" t="e">
        <f>('Personalkosten 3. Jahr'!$M$40+'Personalkosten 3. Jahr'!$M$41)*Hilfstabelle!J94/'Personalkosten 3. Jahr'!$M$39</f>
        <v>#DIV/0!</v>
      </c>
      <c r="K93" s="56" t="e">
        <f>('Personalkosten 3. Jahr'!$M$40+'Personalkosten 3. Jahr'!$M$41)*Hilfstabelle!K94/'Personalkosten 3. Jahr'!$M$39</f>
        <v>#DIV/0!</v>
      </c>
      <c r="L93" s="56" t="e">
        <f>('Personalkosten 3. Jahr'!$M$40+'Personalkosten 3. Jahr'!$M$41)*Hilfstabelle!L94/'Personalkosten 3. Jahr'!$M$39</f>
        <v>#DIV/0!</v>
      </c>
      <c r="M93" s="56" t="e">
        <f>('Personalkosten 3. Jahr'!$M$40+'Personalkosten 3. Jahr'!$M$41)*Hilfstabelle!M94/'Personalkosten 3. Jahr'!$M$39</f>
        <v>#DIV/0!</v>
      </c>
      <c r="N93" s="55" t="e">
        <f t="shared" si="9"/>
        <v>#DIV/0!</v>
      </c>
      <c r="O93" s="34"/>
    </row>
    <row r="94" spans="1:18">
      <c r="A94" s="32" t="s">
        <v>5</v>
      </c>
      <c r="B94" s="56">
        <f t="shared" ref="B94:M94" si="10">SUM(B69:B92)</f>
        <v>0</v>
      </c>
      <c r="C94" s="56">
        <f t="shared" si="10"/>
        <v>0</v>
      </c>
      <c r="D94" s="56">
        <f t="shared" si="10"/>
        <v>0</v>
      </c>
      <c r="E94" s="56">
        <f t="shared" si="10"/>
        <v>0</v>
      </c>
      <c r="F94" s="56">
        <f t="shared" si="10"/>
        <v>0</v>
      </c>
      <c r="G94" s="56">
        <f t="shared" si="10"/>
        <v>0</v>
      </c>
      <c r="H94" s="56">
        <f t="shared" si="10"/>
        <v>0</v>
      </c>
      <c r="I94" s="56">
        <f t="shared" si="10"/>
        <v>0</v>
      </c>
      <c r="J94" s="56">
        <f t="shared" si="10"/>
        <v>0</v>
      </c>
      <c r="K94" s="56">
        <f t="shared" si="10"/>
        <v>0</v>
      </c>
      <c r="L94" s="56">
        <f t="shared" si="10"/>
        <v>0</v>
      </c>
      <c r="M94" s="56">
        <f t="shared" si="10"/>
        <v>0</v>
      </c>
      <c r="N94" s="55">
        <f t="shared" si="9"/>
        <v>0</v>
      </c>
      <c r="O94" s="34"/>
    </row>
    <row r="95" spans="1:18">
      <c r="A95" s="38" t="s">
        <v>5</v>
      </c>
      <c r="B95" s="59">
        <f>IF(B94&gt;0,B93+B94,B94)</f>
        <v>0</v>
      </c>
      <c r="C95" s="59">
        <f t="shared" ref="C95:M95" si="11">IF(C94&gt;0,C93+C94,C94)</f>
        <v>0</v>
      </c>
      <c r="D95" s="59">
        <f t="shared" si="11"/>
        <v>0</v>
      </c>
      <c r="E95" s="59">
        <f t="shared" si="11"/>
        <v>0</v>
      </c>
      <c r="F95" s="59">
        <f t="shared" si="11"/>
        <v>0</v>
      </c>
      <c r="G95" s="59">
        <f t="shared" si="11"/>
        <v>0</v>
      </c>
      <c r="H95" s="59">
        <f t="shared" si="11"/>
        <v>0</v>
      </c>
      <c r="I95" s="59">
        <f t="shared" si="11"/>
        <v>0</v>
      </c>
      <c r="J95" s="59">
        <f t="shared" si="11"/>
        <v>0</v>
      </c>
      <c r="K95" s="59">
        <f t="shared" si="11"/>
        <v>0</v>
      </c>
      <c r="L95" s="59">
        <f t="shared" si="11"/>
        <v>0</v>
      </c>
      <c r="M95" s="59">
        <f t="shared" si="11"/>
        <v>0</v>
      </c>
      <c r="N95" s="60">
        <f t="shared" si="9"/>
        <v>0</v>
      </c>
      <c r="O95" s="43"/>
    </row>
    <row r="98" spans="1:15">
      <c r="A98" s="29" t="s">
        <v>377</v>
      </c>
      <c r="B98" s="30"/>
      <c r="C98" s="30"/>
      <c r="D98" s="30"/>
      <c r="E98" s="30"/>
      <c r="F98" s="30"/>
      <c r="G98" s="30"/>
      <c r="H98" s="30"/>
      <c r="I98" s="30"/>
      <c r="J98" s="30"/>
      <c r="K98" s="30"/>
      <c r="L98" s="30"/>
      <c r="M98" s="30"/>
      <c r="N98" s="30"/>
      <c r="O98" s="31"/>
    </row>
    <row r="99" spans="1:15">
      <c r="A99" s="32" t="s">
        <v>343</v>
      </c>
      <c r="B99" s="26">
        <v>1</v>
      </c>
      <c r="C99" s="26">
        <v>2</v>
      </c>
      <c r="D99" s="26">
        <v>3</v>
      </c>
      <c r="E99" s="26">
        <v>4</v>
      </c>
      <c r="F99" s="26">
        <v>5</v>
      </c>
      <c r="G99" s="26">
        <v>6</v>
      </c>
      <c r="H99" s="26">
        <v>7</v>
      </c>
      <c r="I99" s="26">
        <v>8</v>
      </c>
      <c r="J99" s="26">
        <v>9</v>
      </c>
      <c r="K99" s="26">
        <v>10</v>
      </c>
      <c r="L99" s="26">
        <v>11</v>
      </c>
      <c r="M99" s="26">
        <v>12</v>
      </c>
      <c r="N99" s="33" t="s">
        <v>5</v>
      </c>
      <c r="O99" s="34"/>
    </row>
    <row r="100" spans="1:15" ht="13.2">
      <c r="A100" s="3" t="s">
        <v>92</v>
      </c>
      <c r="B100" s="35">
        <f>IF(B$99&lt;='Zins und Tilgung'!$H$10,0,'Zins und Tilgung'!$J16/(12-'Zins und Tilgung'!$H$10))</f>
        <v>0</v>
      </c>
      <c r="C100" s="35">
        <f>IF(C$99&lt;='Zins und Tilgung'!$H$10,0,'Zins und Tilgung'!$J16/(12-'Zins und Tilgung'!$H$10))</f>
        <v>0</v>
      </c>
      <c r="D100" s="35">
        <f>IF(D$99&lt;='Zins und Tilgung'!$H$10,0,'Zins und Tilgung'!$J16/(12-'Zins und Tilgung'!$H$10))</f>
        <v>0</v>
      </c>
      <c r="E100" s="35">
        <f>IF(E$99&lt;='Zins und Tilgung'!$H$10,0,'Zins und Tilgung'!$J16/(12-'Zins und Tilgung'!$H$10))</f>
        <v>0</v>
      </c>
      <c r="F100" s="35">
        <f>IF(F$99&lt;='Zins und Tilgung'!$H$10,0,'Zins und Tilgung'!$J16/(12-'Zins und Tilgung'!$H$10))</f>
        <v>0</v>
      </c>
      <c r="G100" s="35">
        <f>IF(G$99&lt;='Zins und Tilgung'!$H$10,0,'Zins und Tilgung'!$J16/(12-'Zins und Tilgung'!$H$10))</f>
        <v>0</v>
      </c>
      <c r="H100" s="35">
        <f>IF(H$99&lt;='Zins und Tilgung'!$H$10,0,'Zins und Tilgung'!$J16/(12-'Zins und Tilgung'!$H$10))</f>
        <v>0</v>
      </c>
      <c r="I100" s="35">
        <f>IF(I$99&lt;='Zins und Tilgung'!$H$10,0,'Zins und Tilgung'!$J16/(12-'Zins und Tilgung'!$H$10))</f>
        <v>0</v>
      </c>
      <c r="J100" s="35">
        <f>IF(J$99&lt;='Zins und Tilgung'!$H$10,0,'Zins und Tilgung'!$J16/(12-'Zins und Tilgung'!$H$10))</f>
        <v>0</v>
      </c>
      <c r="K100" s="35">
        <f>IF(K$99&lt;='Zins und Tilgung'!$H$10,0,'Zins und Tilgung'!$J16/(12-'Zins und Tilgung'!$H$10))</f>
        <v>0</v>
      </c>
      <c r="L100" s="35">
        <f>IF(L$99&lt;='Zins und Tilgung'!$H$10,0,'Zins und Tilgung'!$J16/(12-'Zins und Tilgung'!$H$10))</f>
        <v>0</v>
      </c>
      <c r="M100" s="35">
        <f>IF(M$99&lt;='Zins und Tilgung'!$H$10,0,'Zins und Tilgung'!$J16/(12-'Zins und Tilgung'!$H$10))</f>
        <v>0</v>
      </c>
      <c r="N100" s="36">
        <f>SUM(B100:M100)</f>
        <v>0</v>
      </c>
      <c r="O100" s="34"/>
    </row>
    <row r="101" spans="1:15" ht="13.2">
      <c r="A101" s="3" t="s">
        <v>93</v>
      </c>
      <c r="B101" s="35">
        <f>IF(B$99&lt;='Zins und Tilgung'!$N$10,0,'Zins und Tilgung'!$P16/(12-'Zins und Tilgung'!$N$10))</f>
        <v>0</v>
      </c>
      <c r="C101" s="35">
        <f>IF(C$99&lt;='Zins und Tilgung'!$N$10,0,'Zins und Tilgung'!$P16/(12-'Zins und Tilgung'!$N$10))</f>
        <v>0</v>
      </c>
      <c r="D101" s="35">
        <f>IF(D$99&lt;='Zins und Tilgung'!$N$10,0,'Zins und Tilgung'!$P16/(12-'Zins und Tilgung'!$N$10))</f>
        <v>0</v>
      </c>
      <c r="E101" s="35">
        <f>IF(E$99&lt;='Zins und Tilgung'!$N$10,0,'Zins und Tilgung'!$P16/(12-'Zins und Tilgung'!$N$10))</f>
        <v>0</v>
      </c>
      <c r="F101" s="35">
        <f>IF(F$99&lt;='Zins und Tilgung'!$N$10,0,'Zins und Tilgung'!$P16/(12-'Zins und Tilgung'!$N$10))</f>
        <v>0</v>
      </c>
      <c r="G101" s="35">
        <f>IF(G$99&lt;='Zins und Tilgung'!$N$10,0,'Zins und Tilgung'!$P16/(12-'Zins und Tilgung'!$N$10))</f>
        <v>0</v>
      </c>
      <c r="H101" s="35">
        <f>IF(H$99&lt;='Zins und Tilgung'!$N$10,0,'Zins und Tilgung'!$P16/(12-'Zins und Tilgung'!$N$10))</f>
        <v>0</v>
      </c>
      <c r="I101" s="35">
        <f>IF(I$99&lt;='Zins und Tilgung'!$N$10,0,'Zins und Tilgung'!$P16/(12-'Zins und Tilgung'!$N$10))</f>
        <v>0</v>
      </c>
      <c r="J101" s="35">
        <f>IF(J$99&lt;='Zins und Tilgung'!$N$10,0,'Zins und Tilgung'!$P16/(12-'Zins und Tilgung'!$N$10))</f>
        <v>0</v>
      </c>
      <c r="K101" s="35">
        <f>IF(K$99&lt;='Zins und Tilgung'!$N$10,0,'Zins und Tilgung'!$P16/(12-'Zins und Tilgung'!$N$10))</f>
        <v>0</v>
      </c>
      <c r="L101" s="35">
        <f>IF(L$99&lt;='Zins und Tilgung'!$N$10,0,'Zins und Tilgung'!$P16/(12-'Zins und Tilgung'!$N$10))</f>
        <v>0</v>
      </c>
      <c r="M101" s="35">
        <f>IF(M$99&lt;='Zins und Tilgung'!$N$10,0,'Zins und Tilgung'!$P16/(12-'Zins und Tilgung'!$N$10))</f>
        <v>0</v>
      </c>
      <c r="N101" s="36">
        <f>SUM(B101:M101)</f>
        <v>0</v>
      </c>
      <c r="O101" s="34"/>
    </row>
    <row r="102" spans="1:15" ht="13.2">
      <c r="A102" s="3" t="s">
        <v>433</v>
      </c>
      <c r="B102" s="35">
        <f>IF(B$99&lt;='Zins und Tilgung'!$T$10,0,'Zins und Tilgung'!$V16/(12-'Zins und Tilgung'!$T$10))</f>
        <v>0</v>
      </c>
      <c r="C102" s="35">
        <f>IF(C$99&lt;='Zins und Tilgung'!$T$10,0,'Zins und Tilgung'!$V16/(12-'Zins und Tilgung'!$T$10))</f>
        <v>0</v>
      </c>
      <c r="D102" s="35">
        <f>IF(D$99&lt;='Zins und Tilgung'!$T$10,0,'Zins und Tilgung'!$V16/(12-'Zins und Tilgung'!$T$10))</f>
        <v>0</v>
      </c>
      <c r="E102" s="35">
        <f>IF(E$99&lt;='Zins und Tilgung'!$T$10,0,'Zins und Tilgung'!$V16/(12-'Zins und Tilgung'!$T$10))</f>
        <v>0</v>
      </c>
      <c r="F102" s="35">
        <f>IF(F$99&lt;='Zins und Tilgung'!$T$10,0,'Zins und Tilgung'!$V16/(12-'Zins und Tilgung'!$T$10))</f>
        <v>0</v>
      </c>
      <c r="G102" s="35">
        <f>IF(G$99&lt;='Zins und Tilgung'!$T$10,0,'Zins und Tilgung'!$V16/(12-'Zins und Tilgung'!$T$10))</f>
        <v>0</v>
      </c>
      <c r="H102" s="35">
        <f>IF(H$99&lt;='Zins und Tilgung'!$T$10,0,'Zins und Tilgung'!$V16/(12-'Zins und Tilgung'!$T$10))</f>
        <v>0</v>
      </c>
      <c r="I102" s="35">
        <f>IF(I$99&lt;='Zins und Tilgung'!$T$10,0,'Zins und Tilgung'!$V16/(12-'Zins und Tilgung'!$T$10))</f>
        <v>0</v>
      </c>
      <c r="J102" s="35">
        <f>IF(J$99&lt;='Zins und Tilgung'!$T$10,0,'Zins und Tilgung'!$V16/(12-'Zins und Tilgung'!$T$10))</f>
        <v>0</v>
      </c>
      <c r="K102" s="35">
        <f>IF(K$99&lt;='Zins und Tilgung'!$T$10,0,'Zins und Tilgung'!$V16/(12-'Zins und Tilgung'!$T$10))</f>
        <v>0</v>
      </c>
      <c r="L102" s="35">
        <f>IF(L$99&lt;='Zins und Tilgung'!$T$10,0,'Zins und Tilgung'!$V16/(12-'Zins und Tilgung'!$T$10))</f>
        <v>0</v>
      </c>
      <c r="M102" s="35">
        <f>IF(M$99&lt;='Zins und Tilgung'!$T$10,0,'Zins und Tilgung'!$V16/(12-'Zins und Tilgung'!$T$10))</f>
        <v>0</v>
      </c>
      <c r="N102" s="36">
        <f>SUM(B102:M102)</f>
        <v>0</v>
      </c>
      <c r="O102" s="34"/>
    </row>
    <row r="103" spans="1:15" ht="13.2">
      <c r="A103" s="4" t="s">
        <v>411</v>
      </c>
      <c r="B103" s="35">
        <f>IF(B$99&lt;='Zins und Tilgung'!$Z$11*12,0,'Zins und Tilgung'!$AB17/(12-'Zins und Tilgung'!$Z$10))</f>
        <v>0</v>
      </c>
      <c r="C103" s="35">
        <f>IF(C$99&lt;='Zins und Tilgung'!$Z$10,0,'Zins und Tilgung'!$AB17/(12-'Zins und Tilgung'!$Z$10))</f>
        <v>0</v>
      </c>
      <c r="D103" s="35">
        <f>IF(D$99&lt;='Zins und Tilgung'!$Z$10,0,'Zins und Tilgung'!$AB17/(12-'Zins und Tilgung'!$Z$10))</f>
        <v>0</v>
      </c>
      <c r="E103" s="35">
        <f>IF(E$99&lt;='Zins und Tilgung'!$Z$10,0,'Zins und Tilgung'!$AB17/(12-'Zins und Tilgung'!$Z$10))</f>
        <v>0</v>
      </c>
      <c r="F103" s="35">
        <f>IF(F$99&lt;='Zins und Tilgung'!$Z$10,0,'Zins und Tilgung'!$AB17/(12-'Zins und Tilgung'!$Z$10))</f>
        <v>0</v>
      </c>
      <c r="G103" s="35">
        <f>IF(G$99&lt;='Zins und Tilgung'!$Z$10,0,'Zins und Tilgung'!$AB17/(12-'Zins und Tilgung'!$Z$10))</f>
        <v>0</v>
      </c>
      <c r="H103" s="35">
        <f>IF(H$99&lt;='Zins und Tilgung'!$Z$10,0,'Zins und Tilgung'!$AB17/(12-'Zins und Tilgung'!$Z$10))</f>
        <v>0</v>
      </c>
      <c r="I103" s="35">
        <f>IF(I$99&lt;='Zins und Tilgung'!$Z$10,0,'Zins und Tilgung'!$AB17/(12-'Zins und Tilgung'!$Z$10))</f>
        <v>0</v>
      </c>
      <c r="J103" s="35">
        <f>IF(J$99&lt;='Zins und Tilgung'!$Z$10,0,'Zins und Tilgung'!$AB17/(12-'Zins und Tilgung'!$Z$10))</f>
        <v>0</v>
      </c>
      <c r="K103" s="35">
        <f>IF(K$99&lt;='Zins und Tilgung'!$Z$10,0,'Zins und Tilgung'!$AB17/(12-'Zins und Tilgung'!$Z$10))</f>
        <v>0</v>
      </c>
      <c r="L103" s="35">
        <f>IF('Zins und Tilgung'!$Z4&lt;=12,'Zins und Tilgung'!$AB11/12,IF(L$106&lt;='Zins und Tilgung'!$Z$10,0,'Zins und Tilgung'!$AB11/(24-'Zins und Tilgung'!$Z$10)))</f>
        <v>0</v>
      </c>
      <c r="M103" s="35">
        <f>IF('Zins und Tilgung'!$Z4&lt;=12,'Zins und Tilgung'!$AB11/12,IF(M$106&lt;='Zins und Tilgung'!$Z$10,0,'Zins und Tilgung'!$AB11/(24-'Zins und Tilgung'!$Z$10)))</f>
        <v>0</v>
      </c>
      <c r="N103" s="36">
        <f>SUM(B103:M103)</f>
        <v>0</v>
      </c>
      <c r="O103" s="34"/>
    </row>
    <row r="104" spans="1:15">
      <c r="A104" s="32" t="s">
        <v>5</v>
      </c>
      <c r="B104" s="35">
        <f>SUM(B100:B103)</f>
        <v>0</v>
      </c>
      <c r="C104" s="35">
        <f t="shared" ref="C104:M104" si="12">SUM(C100:C103)</f>
        <v>0</v>
      </c>
      <c r="D104" s="35">
        <f t="shared" si="12"/>
        <v>0</v>
      </c>
      <c r="E104" s="35">
        <f t="shared" si="12"/>
        <v>0</v>
      </c>
      <c r="F104" s="35">
        <f t="shared" si="12"/>
        <v>0</v>
      </c>
      <c r="G104" s="35">
        <f t="shared" si="12"/>
        <v>0</v>
      </c>
      <c r="H104" s="35">
        <f t="shared" si="12"/>
        <v>0</v>
      </c>
      <c r="I104" s="35">
        <f t="shared" si="12"/>
        <v>0</v>
      </c>
      <c r="J104" s="35">
        <f t="shared" si="12"/>
        <v>0</v>
      </c>
      <c r="K104" s="35">
        <f t="shared" si="12"/>
        <v>0</v>
      </c>
      <c r="L104" s="35">
        <f t="shared" si="12"/>
        <v>0</v>
      </c>
      <c r="M104" s="35">
        <f t="shared" si="12"/>
        <v>0</v>
      </c>
      <c r="N104" s="36">
        <f>SUM(N100:N103)</f>
        <v>0</v>
      </c>
      <c r="O104" s="37">
        <f>SUM(B104:M104)</f>
        <v>0</v>
      </c>
    </row>
    <row r="105" spans="1:15">
      <c r="A105" s="32"/>
      <c r="O105" s="34"/>
    </row>
    <row r="106" spans="1:15">
      <c r="A106" s="32" t="s">
        <v>350</v>
      </c>
      <c r="B106" s="26">
        <v>13</v>
      </c>
      <c r="C106" s="26">
        <v>14</v>
      </c>
      <c r="D106" s="26">
        <v>15</v>
      </c>
      <c r="E106" s="26">
        <v>16</v>
      </c>
      <c r="F106" s="26">
        <v>17</v>
      </c>
      <c r="G106" s="26">
        <v>18</v>
      </c>
      <c r="H106" s="26">
        <v>19</v>
      </c>
      <c r="I106" s="26">
        <v>20</v>
      </c>
      <c r="J106" s="26">
        <v>21</v>
      </c>
      <c r="K106" s="26">
        <v>22</v>
      </c>
      <c r="L106" s="26">
        <v>23</v>
      </c>
      <c r="M106" s="26">
        <v>24</v>
      </c>
      <c r="N106" s="33" t="s">
        <v>5</v>
      </c>
      <c r="O106" s="34"/>
    </row>
    <row r="107" spans="1:15" ht="13.2">
      <c r="A107" s="3" t="s">
        <v>92</v>
      </c>
      <c r="B107" s="35">
        <f>IF('Zins und Tilgung'!$H10&lt;=12,'Zins und Tilgung'!$J17/12,IF(B$106&lt;='Zins und Tilgung'!$H$10,0,'Zins und Tilgung'!$J17/(24-'Zins und Tilgung'!$H$10)))</f>
        <v>0</v>
      </c>
      <c r="C107" s="35">
        <f>IF('Zins und Tilgung'!$H10&lt;=12,'Zins und Tilgung'!$J17/12,IF(C$106&lt;='Zins und Tilgung'!$H$10,0,'Zins und Tilgung'!$J17/(24-'Zins und Tilgung'!$H$10)))</f>
        <v>0</v>
      </c>
      <c r="D107" s="35">
        <f>IF('Zins und Tilgung'!$H10&lt;=12,'Zins und Tilgung'!$J17/12,IF(D$106&lt;='Zins und Tilgung'!$H$10,0,'Zins und Tilgung'!$J17/(24-'Zins und Tilgung'!$H$10)))</f>
        <v>0</v>
      </c>
      <c r="E107" s="35">
        <f>IF('Zins und Tilgung'!$H10&lt;=12,'Zins und Tilgung'!$J17/12,IF(E$106&lt;='Zins und Tilgung'!$H$10,0,'Zins und Tilgung'!$J17/(24-'Zins und Tilgung'!$H$10)))</f>
        <v>0</v>
      </c>
      <c r="F107" s="35">
        <f>IF('Zins und Tilgung'!$H10&lt;=12,'Zins und Tilgung'!$J17/12,IF(F$106&lt;='Zins und Tilgung'!$H$10,0,'Zins und Tilgung'!$J17/(24-'Zins und Tilgung'!$H$10)))</f>
        <v>0</v>
      </c>
      <c r="G107" s="35">
        <f>IF('Zins und Tilgung'!$H10&lt;=12,'Zins und Tilgung'!$J17/12,IF(G$106&lt;='Zins und Tilgung'!$H$10,0,'Zins und Tilgung'!$J17/(24-'Zins und Tilgung'!$H$10)))</f>
        <v>0</v>
      </c>
      <c r="H107" s="35">
        <f>IF('Zins und Tilgung'!$H10&lt;=12,'Zins und Tilgung'!$J17/12,IF(H$106&lt;='Zins und Tilgung'!$H$10,0,'Zins und Tilgung'!$J17/(24-'Zins und Tilgung'!$H$10)))</f>
        <v>0</v>
      </c>
      <c r="I107" s="35">
        <f>IF('Zins und Tilgung'!$H10&lt;=12,'Zins und Tilgung'!$J17/12,IF(I$106&lt;='Zins und Tilgung'!$H$10,0,'Zins und Tilgung'!$J17/(24-'Zins und Tilgung'!$H$10)))</f>
        <v>0</v>
      </c>
      <c r="J107" s="35">
        <f>IF('Zins und Tilgung'!$H10&lt;=12,'Zins und Tilgung'!$J17/12,IF(J$106&lt;='Zins und Tilgung'!$H$10,0,'Zins und Tilgung'!$J17/(24-'Zins und Tilgung'!$H$10)))</f>
        <v>0</v>
      </c>
      <c r="K107" s="35">
        <f>IF('Zins und Tilgung'!$H10&lt;=12,'Zins und Tilgung'!$J17/12,IF(K$106&lt;='Zins und Tilgung'!$H$10,0,'Zins und Tilgung'!$J17/(24-'Zins und Tilgung'!$H$10)))</f>
        <v>0</v>
      </c>
      <c r="L107" s="35">
        <f>IF('Zins und Tilgung'!$H10&lt;=12,'Zins und Tilgung'!$J17/12,IF(L$106&lt;='Zins und Tilgung'!$H$10,0,'Zins und Tilgung'!$J17/(24-'Zins und Tilgung'!$H$10)))</f>
        <v>0</v>
      </c>
      <c r="M107" s="35">
        <f>IF('Zins und Tilgung'!$H10&lt;=12,'Zins und Tilgung'!$J17/12,IF(M$106&lt;='Zins und Tilgung'!$H$10,0,'Zins und Tilgung'!$J17/(24-'Zins und Tilgung'!$H$10)))</f>
        <v>0</v>
      </c>
      <c r="N107" s="36">
        <f>SUM(B107:M107)</f>
        <v>0</v>
      </c>
      <c r="O107" s="34"/>
    </row>
    <row r="108" spans="1:15" ht="13.2">
      <c r="A108" s="3" t="s">
        <v>93</v>
      </c>
      <c r="B108" s="35">
        <f>IF('Zins und Tilgung'!$N10&lt;=12,'Zins und Tilgung'!$P17/12,IF(B$106&lt;='Zins und Tilgung'!$N$10,0,'Zins und Tilgung'!$P17/(24-'Zins und Tilgung'!$N$10)))</f>
        <v>0</v>
      </c>
      <c r="C108" s="35">
        <f>IF('Zins und Tilgung'!$N10&lt;=12,'Zins und Tilgung'!$P17/12,IF(C$106&lt;='Zins und Tilgung'!$N$10,0,'Zins und Tilgung'!$P17/(24-'Zins und Tilgung'!$N$10)))</f>
        <v>0</v>
      </c>
      <c r="D108" s="35">
        <f>IF('Zins und Tilgung'!$N10&lt;=12,'Zins und Tilgung'!$P17/12,IF(D$106&lt;='Zins und Tilgung'!$N$10,0,'Zins und Tilgung'!$P17/(24-'Zins und Tilgung'!$N$10)))</f>
        <v>0</v>
      </c>
      <c r="E108" s="35">
        <f>IF('Zins und Tilgung'!$N10&lt;=12,'Zins und Tilgung'!$P17/12,IF(E$106&lt;='Zins und Tilgung'!$N$10,0,'Zins und Tilgung'!$P17/(24-'Zins und Tilgung'!$N$10)))</f>
        <v>0</v>
      </c>
      <c r="F108" s="35">
        <f>IF('Zins und Tilgung'!$N10&lt;=12,'Zins und Tilgung'!$P17/12,IF(F$106&lt;='Zins und Tilgung'!$N$10,0,'Zins und Tilgung'!$P17/(24-'Zins und Tilgung'!$N$10)))</f>
        <v>0</v>
      </c>
      <c r="G108" s="35">
        <f>IF('Zins und Tilgung'!$N10&lt;=12,'Zins und Tilgung'!$P17/12,IF(G$106&lt;='Zins und Tilgung'!$N$10,0,'Zins und Tilgung'!$P17/(24-'Zins und Tilgung'!$N$10)))</f>
        <v>0</v>
      </c>
      <c r="H108" s="35">
        <f>IF('Zins und Tilgung'!$N10&lt;=12,'Zins und Tilgung'!$P17/12,IF(H$106&lt;='Zins und Tilgung'!$N$10,0,'Zins und Tilgung'!$P17/(24-'Zins und Tilgung'!$N$10)))</f>
        <v>0</v>
      </c>
      <c r="I108" s="35">
        <f>IF('Zins und Tilgung'!$N10&lt;=12,'Zins und Tilgung'!$P17/12,IF(I$106&lt;='Zins und Tilgung'!$N$10,0,'Zins und Tilgung'!$P17/(24-'Zins und Tilgung'!$N$10)))</f>
        <v>0</v>
      </c>
      <c r="J108" s="35">
        <f>IF('Zins und Tilgung'!$N10&lt;=12,'Zins und Tilgung'!$P17/12,IF(J$106&lt;='Zins und Tilgung'!$N$10,0,'Zins und Tilgung'!$P17/(24-'Zins und Tilgung'!$N$10)))</f>
        <v>0</v>
      </c>
      <c r="K108" s="35">
        <f>IF('Zins und Tilgung'!$N10&lt;=12,'Zins und Tilgung'!$P17/12,IF(K$106&lt;='Zins und Tilgung'!$N$10,0,'Zins und Tilgung'!$P17/(24-'Zins und Tilgung'!$N$10)))</f>
        <v>0</v>
      </c>
      <c r="L108" s="35">
        <f>IF('Zins und Tilgung'!$N10&lt;=12,'Zins und Tilgung'!$P17/12,IF(L$106&lt;='Zins und Tilgung'!$N$10,0,'Zins und Tilgung'!$P17/(24-'Zins und Tilgung'!$N$10)))</f>
        <v>0</v>
      </c>
      <c r="M108" s="35">
        <f>IF('Zins und Tilgung'!$N10&lt;=12,'Zins und Tilgung'!$P17/12,IF(M$106&lt;='Zins und Tilgung'!$N$10,0,'Zins und Tilgung'!$P17/(24-'Zins und Tilgung'!$N$10)))</f>
        <v>0</v>
      </c>
      <c r="N108" s="36">
        <f>SUM(B108:M108)</f>
        <v>0</v>
      </c>
      <c r="O108" s="34"/>
    </row>
    <row r="109" spans="1:15" ht="13.2">
      <c r="A109" s="3" t="s">
        <v>519</v>
      </c>
      <c r="B109" s="35">
        <f>IF('Zins und Tilgung'!$T10&lt;=12,'Zins und Tilgung'!$V17/12,IF(B$106&lt;='Zins und Tilgung'!$T$10,0,'Zins und Tilgung'!$V17/(24-'Zins und Tilgung'!$T$10)))</f>
        <v>0</v>
      </c>
      <c r="C109" s="35">
        <f>IF('Zins und Tilgung'!$T10&lt;=12,'Zins und Tilgung'!$V17/12,IF(C$106&lt;='Zins und Tilgung'!$T$10,0,'Zins und Tilgung'!$V17/(24-'Zins und Tilgung'!$T$10)))</f>
        <v>0</v>
      </c>
      <c r="D109" s="35">
        <f>IF('Zins und Tilgung'!$T10&lt;=12,'Zins und Tilgung'!$V17/12,IF(D$106&lt;='Zins und Tilgung'!$T$10,0,'Zins und Tilgung'!$V17/(24-'Zins und Tilgung'!$T$10)))</f>
        <v>0</v>
      </c>
      <c r="E109" s="35">
        <f>IF('Zins und Tilgung'!$T10&lt;=12,'Zins und Tilgung'!$V17/12,IF(E$106&lt;='Zins und Tilgung'!$T$10,0,'Zins und Tilgung'!$V17/(24-'Zins und Tilgung'!$T$10)))</f>
        <v>0</v>
      </c>
      <c r="F109" s="35">
        <f>IF('Zins und Tilgung'!$T10&lt;=12,'Zins und Tilgung'!$V17/12,IF(F$106&lt;='Zins und Tilgung'!$T$10,0,'Zins und Tilgung'!$V17/(24-'Zins und Tilgung'!$T$10)))</f>
        <v>0</v>
      </c>
      <c r="G109" s="35">
        <f>IF('Zins und Tilgung'!$T10&lt;=12,'Zins und Tilgung'!$V17/12,IF(G$106&lt;='Zins und Tilgung'!$T$10,0,'Zins und Tilgung'!$V17/(24-'Zins und Tilgung'!$T$10)))</f>
        <v>0</v>
      </c>
      <c r="H109" s="35">
        <f>IF('Zins und Tilgung'!$T10&lt;=12,'Zins und Tilgung'!$V17/12,IF(H$106&lt;='Zins und Tilgung'!$T$10,0,'Zins und Tilgung'!$V17/(24-'Zins und Tilgung'!$T$10)))</f>
        <v>0</v>
      </c>
      <c r="I109" s="35">
        <f>IF('Zins und Tilgung'!$T10&lt;=12,'Zins und Tilgung'!$V17/12,IF(I$106&lt;='Zins und Tilgung'!$T$10,0,'Zins und Tilgung'!$V17/(24-'Zins und Tilgung'!$T$10)))</f>
        <v>0</v>
      </c>
      <c r="J109" s="35">
        <f>IF('Zins und Tilgung'!$T10&lt;=12,'Zins und Tilgung'!$V17/12,IF(J$106&lt;='Zins und Tilgung'!$T$10,0,'Zins und Tilgung'!$V17/(24-'Zins und Tilgung'!$T$10)))</f>
        <v>0</v>
      </c>
      <c r="K109" s="35">
        <f>IF('Zins und Tilgung'!$T10&lt;=12,'Zins und Tilgung'!$V17/12,IF(K$106&lt;='Zins und Tilgung'!$T$10,0,'Zins und Tilgung'!$V17/(24-'Zins und Tilgung'!$T$10)))</f>
        <v>0</v>
      </c>
      <c r="L109" s="35">
        <f>IF('Zins und Tilgung'!$T10&lt;=12,'Zins und Tilgung'!$V17/12,IF(L$106&lt;='Zins und Tilgung'!$T$10,0,'Zins und Tilgung'!$V17/(24-'Zins und Tilgung'!$T$10)))</f>
        <v>0</v>
      </c>
      <c r="M109" s="35">
        <f>IF('Zins und Tilgung'!$T10&lt;=12,'Zins und Tilgung'!$V17/12,IF(M$106&lt;='Zins und Tilgung'!$T$10,0,'Zins und Tilgung'!$V17/(24-'Zins und Tilgung'!$T$10)))</f>
        <v>0</v>
      </c>
      <c r="N109" s="36">
        <f>SUM(B109:M109)</f>
        <v>0</v>
      </c>
      <c r="O109" s="34"/>
    </row>
    <row r="110" spans="1:15" ht="13.2">
      <c r="A110" s="4" t="s">
        <v>411</v>
      </c>
      <c r="B110" s="35">
        <f>IF('Zins und Tilgung'!$Z10&lt;=12,'Zins und Tilgung'!$AB18/12,IF(B$106&lt;='Zins und Tilgung'!$Z$10,0,'Zins und Tilgung'!$AB18/(24-'Zins und Tilgung'!$Z$10)))</f>
        <v>0</v>
      </c>
      <c r="C110" s="35">
        <f>IF('Zins und Tilgung'!$Z10&lt;=12,'Zins und Tilgung'!$AB18/12,IF(C$106&lt;='Zins und Tilgung'!$Z$10,0,'Zins und Tilgung'!$AB18/(24-'Zins und Tilgung'!$Z$10)))</f>
        <v>0</v>
      </c>
      <c r="D110" s="35">
        <f>IF('Zins und Tilgung'!$Z10&lt;=12,'Zins und Tilgung'!$AB18/12,IF(D$106&lt;='Zins und Tilgung'!$Z$10,0,'Zins und Tilgung'!$AB18/(24-'Zins und Tilgung'!$Z$10)))</f>
        <v>0</v>
      </c>
      <c r="E110" s="35">
        <f>IF('Zins und Tilgung'!$Z10&lt;=12,'Zins und Tilgung'!$AB18/12,IF(E$106&lt;='Zins und Tilgung'!$Z$10,0,'Zins und Tilgung'!$AB18/(24-'Zins und Tilgung'!$Z$10)))</f>
        <v>0</v>
      </c>
      <c r="F110" s="35">
        <f>IF('Zins und Tilgung'!$Z10&lt;=12,'Zins und Tilgung'!$AB18/12,IF(F$106&lt;='Zins und Tilgung'!$Z$10,0,'Zins und Tilgung'!$AB18/(24-'Zins und Tilgung'!$Z$10)))</f>
        <v>0</v>
      </c>
      <c r="G110" s="35">
        <f>IF('Zins und Tilgung'!$Z10&lt;=12,'Zins und Tilgung'!$AB18/12,IF(G$106&lt;='Zins und Tilgung'!$Z$10,0,'Zins und Tilgung'!$AB18/(24-'Zins und Tilgung'!$Z$10)))</f>
        <v>0</v>
      </c>
      <c r="H110" s="35">
        <f>IF('Zins und Tilgung'!$Z10&lt;=12,'Zins und Tilgung'!$AB18/12,IF(H$106&lt;='Zins und Tilgung'!$Z$10,0,'Zins und Tilgung'!$AB18/(24-'Zins und Tilgung'!$Z$10)))</f>
        <v>0</v>
      </c>
      <c r="I110" s="35">
        <f>IF('Zins und Tilgung'!$Z10&lt;=12,'Zins und Tilgung'!$AB18/12,IF(I$106&lt;='Zins und Tilgung'!$Z$10,0,'Zins und Tilgung'!$AB18/(24-'Zins und Tilgung'!$Z$10)))</f>
        <v>0</v>
      </c>
      <c r="J110" s="35">
        <f>IF('Zins und Tilgung'!$Z10&lt;=12,'Zins und Tilgung'!$AB18/12,IF(J$106&lt;='Zins und Tilgung'!$Z$10,0,'Zins und Tilgung'!$AB18/(24-'Zins und Tilgung'!$Z$10)))</f>
        <v>0</v>
      </c>
      <c r="K110" s="35">
        <f>IF('Zins und Tilgung'!$Z10&lt;=12,'Zins und Tilgung'!$AB18/12,IF(K$106&lt;='Zins und Tilgung'!$Z$10,0,'Zins und Tilgung'!$AB18/(24-'Zins und Tilgung'!$Z$10)))</f>
        <v>0</v>
      </c>
      <c r="L110" s="35">
        <f>IF('Zins und Tilgung'!$Z10&lt;=12,'Zins und Tilgung'!$AB18/12,IF(L$106&lt;='Zins und Tilgung'!$Z$10,0,'Zins und Tilgung'!$AB18/(24-'Zins und Tilgung'!$Z$10)))</f>
        <v>0</v>
      </c>
      <c r="M110" s="35">
        <f>IF('Zins und Tilgung'!$Z10&lt;=12,'Zins und Tilgung'!$AB18/12,IF(M$106&lt;='Zins und Tilgung'!$Z$10,0,'Zins und Tilgung'!$AB18/(24-'Zins und Tilgung'!$Z$10)))</f>
        <v>0</v>
      </c>
      <c r="N110" s="36">
        <f>SUM(B110:M110)</f>
        <v>0</v>
      </c>
      <c r="O110" s="34"/>
    </row>
    <row r="111" spans="1:15">
      <c r="A111" s="32" t="s">
        <v>5</v>
      </c>
      <c r="B111" s="35">
        <f t="shared" ref="B111:M111" si="13">SUM(B107:B110)</f>
        <v>0</v>
      </c>
      <c r="C111" s="35">
        <f t="shared" si="13"/>
        <v>0</v>
      </c>
      <c r="D111" s="35">
        <f t="shared" si="13"/>
        <v>0</v>
      </c>
      <c r="E111" s="35">
        <f t="shared" si="13"/>
        <v>0</v>
      </c>
      <c r="F111" s="35">
        <f t="shared" si="13"/>
        <v>0</v>
      </c>
      <c r="G111" s="35">
        <f t="shared" si="13"/>
        <v>0</v>
      </c>
      <c r="H111" s="35">
        <f t="shared" si="13"/>
        <v>0</v>
      </c>
      <c r="I111" s="35">
        <f t="shared" si="13"/>
        <v>0</v>
      </c>
      <c r="J111" s="35">
        <f t="shared" si="13"/>
        <v>0</v>
      </c>
      <c r="K111" s="35">
        <f t="shared" si="13"/>
        <v>0</v>
      </c>
      <c r="L111" s="35">
        <f t="shared" si="13"/>
        <v>0</v>
      </c>
      <c r="M111" s="35">
        <f t="shared" si="13"/>
        <v>0</v>
      </c>
      <c r="N111" s="36">
        <f>SUM(N107:N110)</f>
        <v>0</v>
      </c>
      <c r="O111" s="37">
        <f>SUM(B111:M111)</f>
        <v>0</v>
      </c>
    </row>
    <row r="112" spans="1:15">
      <c r="A112" s="32"/>
      <c r="O112" s="34"/>
    </row>
    <row r="113" spans="1:15">
      <c r="A113" s="32" t="s">
        <v>376</v>
      </c>
      <c r="B113" s="26">
        <v>25</v>
      </c>
      <c r="C113" s="26">
        <v>26</v>
      </c>
      <c r="D113" s="26">
        <v>27</v>
      </c>
      <c r="E113" s="26">
        <v>28</v>
      </c>
      <c r="F113" s="26">
        <v>29</v>
      </c>
      <c r="G113" s="26">
        <v>30</v>
      </c>
      <c r="H113" s="26">
        <v>31</v>
      </c>
      <c r="I113" s="26">
        <v>32</v>
      </c>
      <c r="J113" s="26">
        <v>33</v>
      </c>
      <c r="K113" s="26">
        <v>34</v>
      </c>
      <c r="L113" s="26">
        <v>35</v>
      </c>
      <c r="M113" s="26">
        <v>36</v>
      </c>
      <c r="N113" s="33" t="s">
        <v>5</v>
      </c>
      <c r="O113" s="34"/>
    </row>
    <row r="114" spans="1:15" ht="13.2">
      <c r="A114" s="3" t="s">
        <v>92</v>
      </c>
      <c r="B114" s="35">
        <f>IF('Zins und Tilgung'!$H10&lt;=24,'Zins und Tilgung'!$J18/12,IF(B$113&lt;='Zins und Tilgung'!$H$10,0,'Zins und Tilgung'!$J18/(36-'Zins und Tilgung'!$H$10)))</f>
        <v>0</v>
      </c>
      <c r="C114" s="35">
        <f>IF('Zins und Tilgung'!$H10&lt;=24,'Zins und Tilgung'!$J18/12,IF(C$113&lt;='Zins und Tilgung'!$H$10,0,'Zins und Tilgung'!$J18/(36-'Zins und Tilgung'!$H$10)))</f>
        <v>0</v>
      </c>
      <c r="D114" s="35">
        <f>IF('Zins und Tilgung'!$H10&lt;=24,'Zins und Tilgung'!$J18/12,IF(D$113&lt;='Zins und Tilgung'!$H$10,0,'Zins und Tilgung'!$J18/(36-'Zins und Tilgung'!$H$10)))</f>
        <v>0</v>
      </c>
      <c r="E114" s="35">
        <f>IF('Zins und Tilgung'!$H10&lt;=24,'Zins und Tilgung'!$J18/12,IF(E$113&lt;='Zins und Tilgung'!$H$10,0,'Zins und Tilgung'!$J18/(36-'Zins und Tilgung'!$H$10)))</f>
        <v>0</v>
      </c>
      <c r="F114" s="35">
        <f>IF('Zins und Tilgung'!$H10&lt;=24,'Zins und Tilgung'!$J18/12,IF(F$113&lt;='Zins und Tilgung'!$H$10,0,'Zins und Tilgung'!$J18/(36-'Zins und Tilgung'!$H$10)))</f>
        <v>0</v>
      </c>
      <c r="G114" s="35">
        <f>IF('Zins und Tilgung'!$H10&lt;=24,'Zins und Tilgung'!$J18/12,IF(G$113&lt;='Zins und Tilgung'!$H$10,0,'Zins und Tilgung'!$J18/(36-'Zins und Tilgung'!$H$10)))</f>
        <v>0</v>
      </c>
      <c r="H114" s="35">
        <f>IF('Zins und Tilgung'!$H10&lt;=24,'Zins und Tilgung'!$J18/12,IF(H$113&lt;='Zins und Tilgung'!$H$10,0,'Zins und Tilgung'!$J18/(36-'Zins und Tilgung'!$H$10)))</f>
        <v>0</v>
      </c>
      <c r="I114" s="35">
        <f>IF('Zins und Tilgung'!$H10&lt;=24,'Zins und Tilgung'!$J18/12,IF(I$113&lt;='Zins und Tilgung'!$H$10,0,'Zins und Tilgung'!$J18/(36-'Zins und Tilgung'!$H$10)))</f>
        <v>0</v>
      </c>
      <c r="J114" s="35">
        <f>IF('Zins und Tilgung'!$H10&lt;=24,'Zins und Tilgung'!$J18/12,IF(J$113&lt;='Zins und Tilgung'!$H$10,0,'Zins und Tilgung'!$J18/(36-'Zins und Tilgung'!$H$10)))</f>
        <v>0</v>
      </c>
      <c r="K114" s="35">
        <f>IF('Zins und Tilgung'!$H10&lt;=24,'Zins und Tilgung'!$J18/12,IF(K$113&lt;='Zins und Tilgung'!$H$10,0,'Zins und Tilgung'!$J18/(36-'Zins und Tilgung'!$H$10)))</f>
        <v>0</v>
      </c>
      <c r="L114" s="35">
        <f>IF('Zins und Tilgung'!$H10&lt;=24,'Zins und Tilgung'!$J18/12,IF(L$113&lt;='Zins und Tilgung'!$H$10,0,'Zins und Tilgung'!$J18/(36-'Zins und Tilgung'!$H$10)))</f>
        <v>0</v>
      </c>
      <c r="M114" s="35">
        <f>IF('Zins und Tilgung'!$H10&lt;=24,'Zins und Tilgung'!$J18/12,IF(M$113&lt;='Zins und Tilgung'!$H$10,0,'Zins und Tilgung'!$J18/(36-'Zins und Tilgung'!$H$10)))</f>
        <v>0</v>
      </c>
      <c r="N114" s="36">
        <f>SUM(B114:M114)</f>
        <v>0</v>
      </c>
      <c r="O114" s="34"/>
    </row>
    <row r="115" spans="1:15" ht="13.2">
      <c r="A115" s="3" t="s">
        <v>93</v>
      </c>
      <c r="B115" s="35">
        <f>IF('Zins und Tilgung'!$N10&lt;=24,'Zins und Tilgung'!$P18/12,IF(B$113&lt;='Zins und Tilgung'!$N$10,0,'Zins und Tilgung'!$P18/(36-'Zins und Tilgung'!$N$10)))</f>
        <v>0</v>
      </c>
      <c r="C115" s="35">
        <f>IF('Zins und Tilgung'!$N10&lt;=24,'Zins und Tilgung'!$P18/12,IF(C$113&lt;='Zins und Tilgung'!$N$10,0,'Zins und Tilgung'!$P18/(36-'Zins und Tilgung'!$N$10)))</f>
        <v>0</v>
      </c>
      <c r="D115" s="35">
        <f>IF('Zins und Tilgung'!$N10&lt;=24,'Zins und Tilgung'!$P18/12,IF(D$113&lt;='Zins und Tilgung'!$N$10,0,'Zins und Tilgung'!$P18/(36-'Zins und Tilgung'!$N$10)))</f>
        <v>0</v>
      </c>
      <c r="E115" s="35">
        <f>IF('Zins und Tilgung'!$N10&lt;=24,'Zins und Tilgung'!$P18/12,IF(E$113&lt;='Zins und Tilgung'!$N$10,0,'Zins und Tilgung'!$P18/(36-'Zins und Tilgung'!$N$10)))</f>
        <v>0</v>
      </c>
      <c r="F115" s="35">
        <f>IF('Zins und Tilgung'!$N10&lt;=24,'Zins und Tilgung'!$P18/12,IF(F$113&lt;='Zins und Tilgung'!$N$10,0,'Zins und Tilgung'!$P18/(36-'Zins und Tilgung'!$N$10)))</f>
        <v>0</v>
      </c>
      <c r="G115" s="35">
        <f>IF('Zins und Tilgung'!$N10&lt;=24,'Zins und Tilgung'!$P18/12,IF(G$113&lt;='Zins und Tilgung'!$N$10,0,'Zins und Tilgung'!$P18/(36-'Zins und Tilgung'!$N$10)))</f>
        <v>0</v>
      </c>
      <c r="H115" s="35">
        <f>IF('Zins und Tilgung'!$N10&lt;=24,'Zins und Tilgung'!$P18/12,IF(H$113&lt;='Zins und Tilgung'!$N$10,0,'Zins und Tilgung'!$P18/(36-'Zins und Tilgung'!$N$10)))</f>
        <v>0</v>
      </c>
      <c r="I115" s="35">
        <f>IF('Zins und Tilgung'!$N10&lt;=24,'Zins und Tilgung'!$P18/12,IF(I$113&lt;='Zins und Tilgung'!$N$10,0,'Zins und Tilgung'!$P18/(36-'Zins und Tilgung'!$N$10)))</f>
        <v>0</v>
      </c>
      <c r="J115" s="35">
        <f>IF('Zins und Tilgung'!$N10&lt;=24,'Zins und Tilgung'!$P18/12,IF(J$113&lt;='Zins und Tilgung'!$N$10,0,'Zins und Tilgung'!$P18/(36-'Zins und Tilgung'!$N$10)))</f>
        <v>0</v>
      </c>
      <c r="K115" s="35">
        <f>IF('Zins und Tilgung'!$N10&lt;=24,'Zins und Tilgung'!$P18/12,IF(K$113&lt;='Zins und Tilgung'!$N$10,0,'Zins und Tilgung'!$P18/(36-'Zins und Tilgung'!$N$10)))</f>
        <v>0</v>
      </c>
      <c r="L115" s="35">
        <f>IF('Zins und Tilgung'!$N10&lt;=24,'Zins und Tilgung'!$P18/12,IF(L$113&lt;='Zins und Tilgung'!$N$10,0,'Zins und Tilgung'!$P18/(36-'Zins und Tilgung'!$N$10)))</f>
        <v>0</v>
      </c>
      <c r="M115" s="35">
        <f>IF('Zins und Tilgung'!$N10&lt;=24,'Zins und Tilgung'!$P18/12,IF(M$113&lt;='Zins und Tilgung'!$N$10,0,'Zins und Tilgung'!$P18/(36-'Zins und Tilgung'!$N$10)))</f>
        <v>0</v>
      </c>
      <c r="N115" s="36">
        <f>SUM(B115:M115)</f>
        <v>0</v>
      </c>
      <c r="O115" s="34"/>
    </row>
    <row r="116" spans="1:15" ht="13.2">
      <c r="A116" s="3" t="s">
        <v>433</v>
      </c>
      <c r="B116" s="35">
        <f>IF('Zins und Tilgung'!$T10&lt;=24,'Zins und Tilgung'!$V18/12,IF(B$113&lt;='Zins und Tilgung'!$T$10,0,'Zins und Tilgung'!$V18/(36-'Zins und Tilgung'!$T$10)))</f>
        <v>0</v>
      </c>
      <c r="C116" s="35">
        <f>IF('Zins und Tilgung'!$T10&lt;=24,'Zins und Tilgung'!$V18/12,IF(C$113&lt;='Zins und Tilgung'!$T$10,0,'Zins und Tilgung'!$V18/(36-'Zins und Tilgung'!$T$10)))</f>
        <v>0</v>
      </c>
      <c r="D116" s="35">
        <f>IF('Zins und Tilgung'!$T10&lt;=24,'Zins und Tilgung'!$V18/12,IF(D$113&lt;='Zins und Tilgung'!$T$10,0,'Zins und Tilgung'!$V18/(36-'Zins und Tilgung'!$T$10)))</f>
        <v>0</v>
      </c>
      <c r="E116" s="35">
        <f>IF('Zins und Tilgung'!$T10&lt;=24,'Zins und Tilgung'!$V18/12,IF(E$113&lt;='Zins und Tilgung'!$T$10,0,'Zins und Tilgung'!$V18/(36-'Zins und Tilgung'!$T$10)))</f>
        <v>0</v>
      </c>
      <c r="F116" s="35">
        <f>IF('Zins und Tilgung'!$T10&lt;=24,'Zins und Tilgung'!$V18/12,IF(F$113&lt;='Zins und Tilgung'!$T$10,0,'Zins und Tilgung'!$V18/(36-'Zins und Tilgung'!$T$10)))</f>
        <v>0</v>
      </c>
      <c r="G116" s="35">
        <f>IF('Zins und Tilgung'!$T10&lt;=24,'Zins und Tilgung'!$V18/12,IF(G$113&lt;='Zins und Tilgung'!$T$10,0,'Zins und Tilgung'!$V18/(36-'Zins und Tilgung'!$T$10)))</f>
        <v>0</v>
      </c>
      <c r="H116" s="35">
        <f>IF('Zins und Tilgung'!$T10&lt;=24,'Zins und Tilgung'!$V18/12,IF(H$113&lt;='Zins und Tilgung'!$T$10,0,'Zins und Tilgung'!$V18/(36-'Zins und Tilgung'!$T$10)))</f>
        <v>0</v>
      </c>
      <c r="I116" s="35">
        <f>IF('Zins und Tilgung'!$T10&lt;=24,'Zins und Tilgung'!$V18/12,IF(I$113&lt;='Zins und Tilgung'!$T$10,0,'Zins und Tilgung'!$V18/(36-'Zins und Tilgung'!$T$10)))</f>
        <v>0</v>
      </c>
      <c r="J116" s="35">
        <f>IF('Zins und Tilgung'!$T10&lt;=24,'Zins und Tilgung'!$V18/12,IF(J$113&lt;='Zins und Tilgung'!$T$10,0,'Zins und Tilgung'!$V18/(36-'Zins und Tilgung'!$T$10)))</f>
        <v>0</v>
      </c>
      <c r="K116" s="35">
        <f>IF('Zins und Tilgung'!$T10&lt;=24,'Zins und Tilgung'!$V18/12,IF(K$113&lt;='Zins und Tilgung'!$T$10,0,'Zins und Tilgung'!$V18/(36-'Zins und Tilgung'!$T$10)))</f>
        <v>0</v>
      </c>
      <c r="L116" s="35">
        <f>IF('Zins und Tilgung'!$T10&lt;=24,'Zins und Tilgung'!$V18/12,IF(L$113&lt;='Zins und Tilgung'!$T$10,0,'Zins und Tilgung'!$V18/(36-'Zins und Tilgung'!$T$10)))</f>
        <v>0</v>
      </c>
      <c r="M116" s="35">
        <f>IF('Zins und Tilgung'!$T10&lt;=24,'Zins und Tilgung'!$V18/12,IF(M$113&lt;='Zins und Tilgung'!$T$10,0,'Zins und Tilgung'!$V18/(36-'Zins und Tilgung'!$T$10)))</f>
        <v>0</v>
      </c>
      <c r="N116" s="36">
        <f>SUM(B116:M116)</f>
        <v>0</v>
      </c>
      <c r="O116" s="34"/>
    </row>
    <row r="117" spans="1:15" ht="13.2">
      <c r="A117" s="4" t="s">
        <v>411</v>
      </c>
      <c r="B117" s="35">
        <f>IF('Zins und Tilgung'!$Z10&lt;=24,'Zins und Tilgung'!$AB19/12,IF(B$113&lt;='Zins und Tilgung'!$Z$10,0,'Zins und Tilgung'!$AB19/(36-'Zins und Tilgung'!$Z$10)))</f>
        <v>0</v>
      </c>
      <c r="C117" s="35">
        <f>IF('Zins und Tilgung'!$Z10&lt;=24,'Zins und Tilgung'!$AB19/12,IF(C$113&lt;='Zins und Tilgung'!$Z$10,0,'Zins und Tilgung'!$AB19/(36-'Zins und Tilgung'!$Z$10)))</f>
        <v>0</v>
      </c>
      <c r="D117" s="35">
        <f>IF('Zins und Tilgung'!$Z10&lt;=24,'Zins und Tilgung'!$AB19/12,IF(D$113&lt;='Zins und Tilgung'!$Z$10,0,'Zins und Tilgung'!$AB19/(36-'Zins und Tilgung'!$Z$10)))</f>
        <v>0</v>
      </c>
      <c r="E117" s="35">
        <f>IF('Zins und Tilgung'!$Z10&lt;=24,'Zins und Tilgung'!$AB19/12,IF(E$113&lt;='Zins und Tilgung'!$Z$10,0,'Zins und Tilgung'!$AB19/(36-'Zins und Tilgung'!$Z$10)))</f>
        <v>0</v>
      </c>
      <c r="F117" s="35">
        <f>IF('Zins und Tilgung'!$Z10&lt;=24,'Zins und Tilgung'!$AB19/12,IF(F$113&lt;='Zins und Tilgung'!$Z$10,0,'Zins und Tilgung'!$AB19/(36-'Zins und Tilgung'!$Z$10)))</f>
        <v>0</v>
      </c>
      <c r="G117" s="35">
        <f>IF('Zins und Tilgung'!$Z10&lt;=24,'Zins und Tilgung'!$AB19/12,IF(G$113&lt;='Zins und Tilgung'!$Z$10,0,'Zins und Tilgung'!$AB19/(36-'Zins und Tilgung'!$Z$10)))</f>
        <v>0</v>
      </c>
      <c r="H117" s="35">
        <f>IF('Zins und Tilgung'!$Z10&lt;=24,'Zins und Tilgung'!$AB19/12,IF(H$113&lt;='Zins und Tilgung'!$Z$10,0,'Zins und Tilgung'!$AB19/(36-'Zins und Tilgung'!$Z$10)))</f>
        <v>0</v>
      </c>
      <c r="I117" s="35">
        <f>IF('Zins und Tilgung'!$Z10&lt;=24,'Zins und Tilgung'!$AB19/12,IF(I$113&lt;='Zins und Tilgung'!$Z$10,0,'Zins und Tilgung'!$AB19/(36-'Zins und Tilgung'!$Z$10)))</f>
        <v>0</v>
      </c>
      <c r="J117" s="35">
        <f>IF('Zins und Tilgung'!$Z10&lt;=24,'Zins und Tilgung'!$AB19/12,IF(J$113&lt;='Zins und Tilgung'!$Z$10,0,'Zins und Tilgung'!$AB19/(36-'Zins und Tilgung'!$Z$10)))</f>
        <v>0</v>
      </c>
      <c r="K117" s="35">
        <f>IF('Zins und Tilgung'!$Z10&lt;=24,'Zins und Tilgung'!$AB19/12,IF(K$113&lt;='Zins und Tilgung'!$Z$10,0,'Zins und Tilgung'!$AB19/(36-'Zins und Tilgung'!$Z$10)))</f>
        <v>0</v>
      </c>
      <c r="L117" s="35">
        <f>IF('Zins und Tilgung'!$Z10&lt;=24,'Zins und Tilgung'!$AB19/12,IF(L$113&lt;='Zins und Tilgung'!$Z$10,0,'Zins und Tilgung'!$AB19/(36-'Zins und Tilgung'!$Z$10)))</f>
        <v>0</v>
      </c>
      <c r="M117" s="35">
        <f>IF('Zins und Tilgung'!$Z10&lt;=24,'Zins und Tilgung'!$AB19/12,IF(M$113&lt;='Zins und Tilgung'!$Z$10,0,'Zins und Tilgung'!$AB19/(36-'Zins und Tilgung'!$Z$10)))</f>
        <v>0</v>
      </c>
      <c r="N117" s="36">
        <f>SUM(B117:M117)</f>
        <v>0</v>
      </c>
      <c r="O117" s="34"/>
    </row>
    <row r="118" spans="1:15">
      <c r="A118" s="38" t="s">
        <v>5</v>
      </c>
      <c r="B118" s="39">
        <f t="shared" ref="B118:M118" si="14">SUM(B114:B117)</f>
        <v>0</v>
      </c>
      <c r="C118" s="39">
        <f t="shared" si="14"/>
        <v>0</v>
      </c>
      <c r="D118" s="39">
        <f t="shared" si="14"/>
        <v>0</v>
      </c>
      <c r="E118" s="39">
        <f t="shared" si="14"/>
        <v>0</v>
      </c>
      <c r="F118" s="39">
        <f t="shared" si="14"/>
        <v>0</v>
      </c>
      <c r="G118" s="39">
        <f t="shared" si="14"/>
        <v>0</v>
      </c>
      <c r="H118" s="39">
        <f t="shared" si="14"/>
        <v>0</v>
      </c>
      <c r="I118" s="39">
        <f t="shared" si="14"/>
        <v>0</v>
      </c>
      <c r="J118" s="39">
        <f t="shared" si="14"/>
        <v>0</v>
      </c>
      <c r="K118" s="39">
        <f t="shared" si="14"/>
        <v>0</v>
      </c>
      <c r="L118" s="39">
        <f t="shared" si="14"/>
        <v>0</v>
      </c>
      <c r="M118" s="39">
        <f t="shared" si="14"/>
        <v>0</v>
      </c>
      <c r="N118" s="40">
        <f>SUM(N114:N117)</f>
        <v>0</v>
      </c>
      <c r="O118" s="41">
        <f>SUM(B118:M118)</f>
        <v>0</v>
      </c>
    </row>
    <row r="121" spans="1:15">
      <c r="A121" s="29" t="s">
        <v>378</v>
      </c>
      <c r="B121" s="30"/>
      <c r="C121" s="30"/>
      <c r="D121" s="30"/>
      <c r="E121" s="30" t="s">
        <v>434</v>
      </c>
      <c r="F121" s="30"/>
      <c r="G121" s="30"/>
      <c r="H121" s="30"/>
      <c r="I121" s="30"/>
      <c r="J121" s="30"/>
      <c r="K121" s="30"/>
      <c r="L121" s="30"/>
      <c r="M121" s="30"/>
      <c r="N121" s="30"/>
      <c r="O121" s="31"/>
    </row>
    <row r="122" spans="1:15">
      <c r="A122" s="32" t="s">
        <v>343</v>
      </c>
      <c r="B122" s="26">
        <v>1</v>
      </c>
      <c r="C122" s="26">
        <v>2</v>
      </c>
      <c r="D122" s="26">
        <v>3</v>
      </c>
      <c r="E122" s="26">
        <v>4</v>
      </c>
      <c r="F122" s="26">
        <v>5</v>
      </c>
      <c r="G122" s="26">
        <v>6</v>
      </c>
      <c r="H122" s="26">
        <v>7</v>
      </c>
      <c r="I122" s="26">
        <v>8</v>
      </c>
      <c r="J122" s="26">
        <v>9</v>
      </c>
      <c r="K122" s="26">
        <v>10</v>
      </c>
      <c r="L122" s="26">
        <v>11</v>
      </c>
      <c r="M122" s="26">
        <v>12</v>
      </c>
      <c r="N122" s="33" t="s">
        <v>5</v>
      </c>
      <c r="O122" s="34"/>
    </row>
    <row r="123" spans="1:15" ht="13.2">
      <c r="A123" s="3" t="s">
        <v>92</v>
      </c>
      <c r="B123" s="35">
        <f>IF(B100=0,'Zins und Tilgung'!$H16*'Zins und Tilgung'!$H$8/100/12,('Zins und Tilgung'!H$16-Hilfstabelle!$B100)*'Zins und Tilgung'!$H$8/100/12)</f>
        <v>0</v>
      </c>
      <c r="C123" s="35">
        <f>IF(C100=0,'Zins und Tilgung'!$H16*'Zins und Tilgung'!$H$8/100/12,('Zins und Tilgung'!$H16-SUM($B100:C100))*'Zins und Tilgung'!$H$8/100/12)</f>
        <v>0</v>
      </c>
      <c r="D123" s="35">
        <f>IF(D100=0,'Zins und Tilgung'!$H16*'Zins und Tilgung'!$H$8/100/12,('Zins und Tilgung'!$H16-SUM($B100:D100))*'Zins und Tilgung'!$H$8/100/12)</f>
        <v>0</v>
      </c>
      <c r="E123" s="35">
        <f>IF(E100=0,'Zins und Tilgung'!$H16*'Zins und Tilgung'!$H$8/100/12,('Zins und Tilgung'!$H16-SUM($B100:E100))*'Zins und Tilgung'!$H$8/100/12)</f>
        <v>0</v>
      </c>
      <c r="F123" s="35">
        <f>IF(F100=0,'Zins und Tilgung'!$H16*'Zins und Tilgung'!$H$8/100/12,('Zins und Tilgung'!$H16-SUM($B100:F100))*'Zins und Tilgung'!$H$8/100/12)</f>
        <v>0</v>
      </c>
      <c r="G123" s="35">
        <f>IF(G100=0,'Zins und Tilgung'!$H16*'Zins und Tilgung'!$H$8/100/12,('Zins und Tilgung'!$H16-SUM($B100:G100))*'Zins und Tilgung'!$H$8/100/12)</f>
        <v>0</v>
      </c>
      <c r="H123" s="35">
        <f>IF(H100=0,'Zins und Tilgung'!$H16*'Zins und Tilgung'!$H$8/100/12,('Zins und Tilgung'!$H16-SUM($B100:H100))*'Zins und Tilgung'!$H$8/100/12)</f>
        <v>0</v>
      </c>
      <c r="I123" s="35">
        <f>IF(I100=0,'Zins und Tilgung'!$H16*'Zins und Tilgung'!$H$8/100/12,('Zins und Tilgung'!$H16-SUM($B100:I100))*'Zins und Tilgung'!$H$8/100/12)</f>
        <v>0</v>
      </c>
      <c r="J123" s="35">
        <f>IF(J100=0,'Zins und Tilgung'!$H16*'Zins und Tilgung'!$H$8/100/12,('Zins und Tilgung'!$H16-SUM($B100:J100))*'Zins und Tilgung'!$H$8/100/12)</f>
        <v>0</v>
      </c>
      <c r="K123" s="35">
        <f>IF(K100=0,'Zins und Tilgung'!$H16*'Zins und Tilgung'!$H$8/100/12,('Zins und Tilgung'!$H16-SUM($B100:K100))*'Zins und Tilgung'!$H$8/100/12)</f>
        <v>0</v>
      </c>
      <c r="L123" s="35">
        <f>IF(L100=0,'Zins und Tilgung'!$H16*'Zins und Tilgung'!$H$8/100/12,('Zins und Tilgung'!$H16-SUM($B100:L100))*'Zins und Tilgung'!$H$8/100/12)</f>
        <v>0</v>
      </c>
      <c r="M123" s="35">
        <f>IF(M100=0,'Zins und Tilgung'!$H16*'Zins und Tilgung'!$H$8/100/12,('Zins und Tilgung'!$H16-SUM($B100:M100))*'Zins und Tilgung'!$H$8/100/12)</f>
        <v>0</v>
      </c>
      <c r="N123" s="36">
        <f>SUM(B123:M123)</f>
        <v>0</v>
      </c>
      <c r="O123" s="34"/>
    </row>
    <row r="124" spans="1:15" ht="13.2">
      <c r="A124" s="3" t="s">
        <v>93</v>
      </c>
      <c r="B124" s="35">
        <f>IF(B101=0,'Zins und Tilgung'!$N16*'Zins und Tilgung'!$N$8/100/12,('Zins und Tilgung'!N$16-Hilfstabelle!$B101)*'Zins und Tilgung'!$N$8/100/12)</f>
        <v>0</v>
      </c>
      <c r="C124" s="35">
        <f>IF(C101=0,'Zins und Tilgung'!$N16*'Zins und Tilgung'!$N$8/100/12,('Zins und Tilgung'!$N16-SUM($B101:C101))*'Zins und Tilgung'!$N$8/100/12)</f>
        <v>0</v>
      </c>
      <c r="D124" s="35">
        <f>IF(D101=0,'Zins und Tilgung'!$N16*'Zins und Tilgung'!$N$8/100/12,('Zins und Tilgung'!$N16-SUM($B101:D101))*'Zins und Tilgung'!$N$8/100/12)</f>
        <v>0</v>
      </c>
      <c r="E124" s="35">
        <f>IF(E101=0,'Zins und Tilgung'!$N16*'Zins und Tilgung'!$N$8/100/12,('Zins und Tilgung'!$N16-SUM($B101:E101))*'Zins und Tilgung'!$N$8/100/12)</f>
        <v>0</v>
      </c>
      <c r="F124" s="35">
        <f>IF(F101=0,'Zins und Tilgung'!$N16*'Zins und Tilgung'!$N$8/100/12,('Zins und Tilgung'!$N16-SUM($B101:F101))*'Zins und Tilgung'!$N$8/100/12)</f>
        <v>0</v>
      </c>
      <c r="G124" s="35">
        <f>IF(G101=0,'Zins und Tilgung'!$N16*'Zins und Tilgung'!$N$8/100/12,('Zins und Tilgung'!$N16-SUM($B101:G101))*'Zins und Tilgung'!$N$8/100/12)</f>
        <v>0</v>
      </c>
      <c r="H124" s="35">
        <f>IF(H101=0,'Zins und Tilgung'!$N16*'Zins und Tilgung'!$N$8/100/12,('Zins und Tilgung'!$N16-SUM($B101:H101))*'Zins und Tilgung'!$N$8/100/12)</f>
        <v>0</v>
      </c>
      <c r="I124" s="35">
        <f>IF(I101=0,'Zins und Tilgung'!$N16*'Zins und Tilgung'!$N$8/100/12,('Zins und Tilgung'!$N16-SUM($B101:I101))*'Zins und Tilgung'!$N$8/100/12)</f>
        <v>0</v>
      </c>
      <c r="J124" s="35">
        <f>IF(J101=0,'Zins und Tilgung'!$N16*'Zins und Tilgung'!$N$8/100/12,('Zins und Tilgung'!$N16-SUM($B101:J101))*'Zins und Tilgung'!$N$8/100/12)</f>
        <v>0</v>
      </c>
      <c r="K124" s="35">
        <f>IF(K101=0,'Zins und Tilgung'!$N16*'Zins und Tilgung'!$N$8/100/12,('Zins und Tilgung'!$N16-SUM($B101:K101))*'Zins und Tilgung'!$N$8/100/12)</f>
        <v>0</v>
      </c>
      <c r="L124" s="35">
        <f>IF(L101=0,'Zins und Tilgung'!$N16*'Zins und Tilgung'!$N$8/100/12,('Zins und Tilgung'!$N16-SUM($B101:L101))*'Zins und Tilgung'!$N$8/100/12)</f>
        <v>0</v>
      </c>
      <c r="M124" s="35">
        <f>IF(M101=0,'Zins und Tilgung'!$N16*'Zins und Tilgung'!$N$8/100/12,('Zins und Tilgung'!$N16-SUM($B101:M101))*'Zins und Tilgung'!$N$8/100/12)</f>
        <v>0</v>
      </c>
      <c r="N124" s="36">
        <f>SUM(B124:M124)</f>
        <v>0</v>
      </c>
      <c r="O124" s="34"/>
    </row>
    <row r="125" spans="1:15" ht="13.2">
      <c r="A125" s="3" t="s">
        <v>433</v>
      </c>
      <c r="B125" s="35">
        <f>IF(B102=0,'Zins und Tilgung'!$T16*'Zins und Tilgung'!$T$8/100/12,('Zins und Tilgung'!$T16-Hilfstabelle!$B102)*'Zins und Tilgung'!$T$8/100/12)</f>
        <v>0</v>
      </c>
      <c r="C125" s="35">
        <f>IF(C102=0,'Zins und Tilgung'!$T16*'Zins und Tilgung'!$T$8/100/12,('Zins und Tilgung'!$T16-SUM($B102:C102))*'Zins und Tilgung'!$T$8/100/12)</f>
        <v>0</v>
      </c>
      <c r="D125" s="35">
        <f>IF(D102=0,'Zins und Tilgung'!$T16*'Zins und Tilgung'!$T$8/100/12,('Zins und Tilgung'!$T16-SUM($B102:D102))*'Zins und Tilgung'!$T$8/100/12)</f>
        <v>0</v>
      </c>
      <c r="E125" s="35">
        <f>IF(E102=0,'Zins und Tilgung'!$T16*'Zins und Tilgung'!$T$8/100/12,('Zins und Tilgung'!$T16-SUM($B102:E102))*'Zins und Tilgung'!$T$8/100/12)</f>
        <v>0</v>
      </c>
      <c r="F125" s="35">
        <f>IF(F102=0,'Zins und Tilgung'!$T16*'Zins und Tilgung'!$T$8/100/12,('Zins und Tilgung'!$T16-SUM($B102:F102))*'Zins und Tilgung'!$T$8/100/12)</f>
        <v>0</v>
      </c>
      <c r="G125" s="35">
        <f>IF(G102=0,'Zins und Tilgung'!$T16*'Zins und Tilgung'!$T$8/100/12,('Zins und Tilgung'!$T16-SUM($B102:G102))*'Zins und Tilgung'!$T$8/100/12)</f>
        <v>0</v>
      </c>
      <c r="H125" s="35">
        <f>IF(H102=0,'Zins und Tilgung'!$T16*'Zins und Tilgung'!$T$8/100/12,('Zins und Tilgung'!$T16-SUM($B102:H102))*'Zins und Tilgung'!$T$8/100/12)</f>
        <v>0</v>
      </c>
      <c r="I125" s="35">
        <f>IF(I102=0,'Zins und Tilgung'!$T16*'Zins und Tilgung'!$T$8/100/12,('Zins und Tilgung'!$T16-SUM($B102:I102))*'Zins und Tilgung'!$T$8/100/12)</f>
        <v>0</v>
      </c>
      <c r="J125" s="35">
        <f>IF(J102=0,'Zins und Tilgung'!$T16*'Zins und Tilgung'!$T$8/100/12,('Zins und Tilgung'!$T16-SUM($B102:J102))*'Zins und Tilgung'!$T$8/100/12)</f>
        <v>0</v>
      </c>
      <c r="K125" s="35">
        <f>IF(K102=0,'Zins und Tilgung'!$T16*'Zins und Tilgung'!$T$8/100/12,('Zins und Tilgung'!$T16-SUM($B102:K102))*'Zins und Tilgung'!$T$8/100/12)</f>
        <v>0</v>
      </c>
      <c r="L125" s="35">
        <f>IF(L102=0,'Zins und Tilgung'!$T16*'Zins und Tilgung'!$T$8/100/12,('Zins und Tilgung'!$T16-SUM($B102:L102))*'Zins und Tilgung'!$T$8/100/12)</f>
        <v>0</v>
      </c>
      <c r="M125" s="35">
        <f>IF(M102=0,'Zins und Tilgung'!$T16*'Zins und Tilgung'!$T$8/100/12,('Zins und Tilgung'!$T16-SUM($B102:M102))*'Zins und Tilgung'!$T$8/100/12)</f>
        <v>0</v>
      </c>
      <c r="N125" s="36">
        <f>SUM(B125:M125)</f>
        <v>0</v>
      </c>
      <c r="O125" s="34"/>
    </row>
    <row r="126" spans="1:15" ht="13.2">
      <c r="A126" s="4" t="s">
        <v>411</v>
      </c>
      <c r="B126" s="35">
        <f>IF(AND(MONTH('Liquiditätsplan-1.Jahr'!$D13)&gt;=8,MONTH('Liquiditätsplan-1.Jahr'!D13)=7),'Zins und Tilgung'!$Z7*'Zins und Tilgung'!$Z9/100,0)</f>
        <v>0</v>
      </c>
      <c r="C126" s="35">
        <f>IF(AND(MONTH('Liquiditätsplan-1.Jahr'!$D13)&gt;=8,MONTH('Liquiditätsplan-1.Jahr'!E13)=7),'Zins und Tilgung'!$Z7*'Zins und Tilgung'!$Z9/100,0)</f>
        <v>0</v>
      </c>
      <c r="D126" s="35">
        <f>'Zins und Tilgung'!$Z$7*'Zins und Tilgung'!$Z$8*0.25/100+IF(AND(MONTH('Liquiditätsplan-1.Jahr'!$D13)&gt;=8,MONTH('Liquiditätsplan-1.Jahr'!F13)=7),'Zins und Tilgung'!$Z7*'Zins und Tilgung'!$Z9/100,0)</f>
        <v>0</v>
      </c>
      <c r="E126" s="35">
        <f>IF(AND(MONTH('Liquiditätsplan-1.Jahr'!$D13)&gt;=8,MONTH('Liquiditätsplan-1.Jahr'!G13)=7),'Zins und Tilgung'!$Z7*'Zins und Tilgung'!$Z9/100,0)</f>
        <v>0</v>
      </c>
      <c r="F126" s="35">
        <f>IF(AND(MONTH('Liquiditätsplan-1.Jahr'!$D13)&gt;=8,MONTH('Liquiditätsplan-1.Jahr'!H13)=7),'Zins und Tilgung'!$Z7*'Zins und Tilgung'!$Z9/100,0)</f>
        <v>0</v>
      </c>
      <c r="G126" s="35">
        <f>'Zins und Tilgung'!$Z$7*'Zins und Tilgung'!$Z$8*0.25/100+IF(AND(MONTH('Liquiditätsplan-1.Jahr'!$D13)&gt;=8,MONTH('Liquiditätsplan-1.Jahr'!I13)=7),'Zins und Tilgung'!$Z7*'Zins und Tilgung'!$Z9/100,0)</f>
        <v>0</v>
      </c>
      <c r="H126" s="35">
        <f>IF(AND(MONTH('Liquiditätsplan-1.Jahr'!$D13)&gt;=8,MONTH('Liquiditätsplan-1.Jahr'!J13)=7),'Zins und Tilgung'!$Z7*'Zins und Tilgung'!$Z9/100,0)</f>
        <v>0</v>
      </c>
      <c r="I126" s="35">
        <f>IF(AND(MONTH('Liquiditätsplan-1.Jahr'!$D13)&gt;=8,MONTH('Liquiditätsplan-1.Jahr'!K13)=7),'Zins und Tilgung'!$Z7*'Zins und Tilgung'!$Z9/100,0)</f>
        <v>0</v>
      </c>
      <c r="J126" s="35">
        <f>'Zins und Tilgung'!$Z$7*'Zins und Tilgung'!$Z$8*0.25/100+IF(AND(MONTH('Liquiditätsplan-1.Jahr'!$D13)&gt;=8,MONTH('Liquiditätsplan-1.Jahr'!L13)=7),'Zins und Tilgung'!$Z7*'Zins und Tilgung'!$Z9/100,0)</f>
        <v>0</v>
      </c>
      <c r="K126" s="35">
        <f>IF(AND(MONTH('Liquiditätsplan-1.Jahr'!$D13)&gt;=8,MONTH('Liquiditätsplan-1.Jahr'!M13)=7),'Zins und Tilgung'!$Z7*'Zins und Tilgung'!$Z9/100,0)</f>
        <v>0</v>
      </c>
      <c r="L126" s="35">
        <f>IF(AND(MONTH('Liquiditätsplan-1.Jahr'!$D13)&gt;=8,MONTH('Liquiditätsplan-1.Jahr'!N13)=7),'Zins und Tilgung'!$Z7*'Zins und Tilgung'!$Z9/100,0)</f>
        <v>0</v>
      </c>
      <c r="M126" s="35">
        <f>'Zins und Tilgung'!$Z$7*'Zins und Tilgung'!$Z$8*0.25/100+IF(AND(MONTH('Liquiditätsplan-1.Jahr'!$D13)&gt;=8,MONTH('Liquiditätsplan-1.Jahr'!O13)=7),'Zins und Tilgung'!$Z7*'Zins und Tilgung'!$Z9/100,0)</f>
        <v>0</v>
      </c>
      <c r="N126" s="36">
        <f>SUM(B126:M126)</f>
        <v>0</v>
      </c>
      <c r="O126" s="34"/>
    </row>
    <row r="127" spans="1:15">
      <c r="A127" s="32" t="s">
        <v>5</v>
      </c>
      <c r="B127" s="35">
        <f>SUM(B123:B126)</f>
        <v>0</v>
      </c>
      <c r="C127" s="35">
        <f t="shared" ref="C127:M127" si="15">SUM(C123:C126)</f>
        <v>0</v>
      </c>
      <c r="D127" s="35">
        <f t="shared" si="15"/>
        <v>0</v>
      </c>
      <c r="E127" s="35">
        <f t="shared" si="15"/>
        <v>0</v>
      </c>
      <c r="F127" s="35">
        <f t="shared" si="15"/>
        <v>0</v>
      </c>
      <c r="G127" s="35">
        <f t="shared" si="15"/>
        <v>0</v>
      </c>
      <c r="H127" s="35">
        <f t="shared" si="15"/>
        <v>0</v>
      </c>
      <c r="I127" s="35">
        <f t="shared" si="15"/>
        <v>0</v>
      </c>
      <c r="J127" s="35">
        <f t="shared" si="15"/>
        <v>0</v>
      </c>
      <c r="K127" s="35">
        <f t="shared" si="15"/>
        <v>0</v>
      </c>
      <c r="L127" s="35">
        <f t="shared" si="15"/>
        <v>0</v>
      </c>
      <c r="M127" s="35">
        <f t="shared" si="15"/>
        <v>0</v>
      </c>
      <c r="N127" s="36">
        <f>SUM(N123:N126)</f>
        <v>0</v>
      </c>
      <c r="O127" s="37">
        <f>SUM(B127:M127)</f>
        <v>0</v>
      </c>
    </row>
    <row r="128" spans="1:15">
      <c r="A128" s="32"/>
      <c r="O128" s="34"/>
    </row>
    <row r="129" spans="1:15">
      <c r="A129" s="32" t="s">
        <v>350</v>
      </c>
      <c r="B129" s="26">
        <v>13</v>
      </c>
      <c r="C129" s="26">
        <v>14</v>
      </c>
      <c r="D129" s="26">
        <v>15</v>
      </c>
      <c r="E129" s="26">
        <v>16</v>
      </c>
      <c r="F129" s="26">
        <v>17</v>
      </c>
      <c r="G129" s="26">
        <v>18</v>
      </c>
      <c r="H129" s="26">
        <v>19</v>
      </c>
      <c r="I129" s="26">
        <v>20</v>
      </c>
      <c r="J129" s="26">
        <v>21</v>
      </c>
      <c r="K129" s="26">
        <v>22</v>
      </c>
      <c r="L129" s="26">
        <v>23</v>
      </c>
      <c r="M129" s="26">
        <v>24</v>
      </c>
      <c r="N129" s="33" t="s">
        <v>5</v>
      </c>
      <c r="O129" s="34"/>
    </row>
    <row r="130" spans="1:15" ht="13.2">
      <c r="A130" s="3" t="s">
        <v>92</v>
      </c>
      <c r="B130" s="35">
        <f>IF(B107=0,'Zins und Tilgung'!$H17*'Zins und Tilgung'!$H$8/100/12,('Zins und Tilgung'!H$17-Hilfstabelle!$B107)*'Zins und Tilgung'!$H$8/100/12)</f>
        <v>0</v>
      </c>
      <c r="C130" s="35">
        <f>IF(C107=0,'Zins und Tilgung'!$H17*'Zins und Tilgung'!$H$8/100/12,('Zins und Tilgung'!$H17-SUM($B107:C107))*'Zins und Tilgung'!$H$8/100/12)</f>
        <v>0</v>
      </c>
      <c r="D130" s="35">
        <f>IF(D107=0,'Zins und Tilgung'!$H17*'Zins und Tilgung'!$H$8/100/12,('Zins und Tilgung'!$H17-SUM($B107:D107))*'Zins und Tilgung'!$H$8/100/12)</f>
        <v>0</v>
      </c>
      <c r="E130" s="35">
        <f>IF(E107=0,'Zins und Tilgung'!$H17*'Zins und Tilgung'!$H$8/100/12,('Zins und Tilgung'!$H17-SUM($B107:E107))*'Zins und Tilgung'!$H$8/100/12)</f>
        <v>0</v>
      </c>
      <c r="F130" s="35">
        <f>IF(F107=0,'Zins und Tilgung'!$H17*'Zins und Tilgung'!$H$8/100/12,('Zins und Tilgung'!$H17-SUM($B107:F107))*'Zins und Tilgung'!$H$8/100/12)</f>
        <v>0</v>
      </c>
      <c r="G130" s="35">
        <f>IF(G107=0,'Zins und Tilgung'!$H17*'Zins und Tilgung'!$H$8/100/12,('Zins und Tilgung'!$H17-SUM($B107:G107))*'Zins und Tilgung'!$H$8/100/12)</f>
        <v>0</v>
      </c>
      <c r="H130" s="35">
        <f>IF(H107=0,'Zins und Tilgung'!$H17*'Zins und Tilgung'!$H$8/100/12,('Zins und Tilgung'!$H17-SUM($B107:H107))*'Zins und Tilgung'!$H$8/100/12)</f>
        <v>0</v>
      </c>
      <c r="I130" s="35">
        <f>IF(I107=0,'Zins und Tilgung'!$H17*'Zins und Tilgung'!$H$8/100/12,('Zins und Tilgung'!$H17-SUM($B107:I107))*'Zins und Tilgung'!$H$8/100/12)</f>
        <v>0</v>
      </c>
      <c r="J130" s="35">
        <f>IF(J107=0,'Zins und Tilgung'!$H17*'Zins und Tilgung'!$H$8/100/12,('Zins und Tilgung'!$H17-SUM($B107:J107))*'Zins und Tilgung'!$H$8/100/12)</f>
        <v>0</v>
      </c>
      <c r="K130" s="35">
        <f>IF(K107=0,'Zins und Tilgung'!$H17*'Zins und Tilgung'!$H$8/100/12,('Zins und Tilgung'!$H17-SUM($B107:K107))*'Zins und Tilgung'!$H$8/100/12)</f>
        <v>0</v>
      </c>
      <c r="L130" s="35">
        <f>IF(L107=0,'Zins und Tilgung'!$H17*'Zins und Tilgung'!$H$8/100/12,('Zins und Tilgung'!$H17-SUM($B107:L107))*'Zins und Tilgung'!$H$8/100/12)</f>
        <v>0</v>
      </c>
      <c r="M130" s="35">
        <f>IF(M107=0,'Zins und Tilgung'!$H17*'Zins und Tilgung'!$H$8/100/12,('Zins und Tilgung'!$H17-SUM($B107:M107))*'Zins und Tilgung'!$H$8/100/12)</f>
        <v>0</v>
      </c>
      <c r="N130" s="36">
        <f>SUM(B130:M130)</f>
        <v>0</v>
      </c>
      <c r="O130" s="34"/>
    </row>
    <row r="131" spans="1:15" ht="13.2">
      <c r="A131" s="3" t="s">
        <v>93</v>
      </c>
      <c r="B131" s="35">
        <f>IF(B108=0,'Zins und Tilgung'!$N17*'Zins und Tilgung'!$N$8/100/12,('Zins und Tilgung'!N$17-Hilfstabelle!$B108)*'Zins und Tilgung'!$N$8/100/12)</f>
        <v>0</v>
      </c>
      <c r="C131" s="35">
        <f>IF(C108=0,'Zins und Tilgung'!$N17*'Zins und Tilgung'!$N$8/100/12,('Zins und Tilgung'!$N17-SUM($B108:C108))*'Zins und Tilgung'!$N$8/100/12)</f>
        <v>0</v>
      </c>
      <c r="D131" s="35">
        <f>IF(D108=0,'Zins und Tilgung'!$N17*'Zins und Tilgung'!$N$8/100/12,('Zins und Tilgung'!$N17-SUM($B108:D108))*'Zins und Tilgung'!$N$8/100/12)</f>
        <v>0</v>
      </c>
      <c r="E131" s="35">
        <f>IF(E108=0,'Zins und Tilgung'!$N17*'Zins und Tilgung'!$N$8/100/12,('Zins und Tilgung'!$N17-SUM($B108:E108))*'Zins und Tilgung'!$N$8/100/12)</f>
        <v>0</v>
      </c>
      <c r="F131" s="35">
        <f>IF(F108=0,'Zins und Tilgung'!$N17*'Zins und Tilgung'!$N$8/100/12,('Zins und Tilgung'!$N17-SUM($B108:F108))*'Zins und Tilgung'!$N$8/100/12)</f>
        <v>0</v>
      </c>
      <c r="G131" s="35">
        <f>IF(G108=0,'Zins und Tilgung'!$N17*'Zins und Tilgung'!$N$8/100/12,('Zins und Tilgung'!$N17-SUM($B108:G108))*'Zins und Tilgung'!$N$8/100/12)</f>
        <v>0</v>
      </c>
      <c r="H131" s="35">
        <f>IF(H108=0,'Zins und Tilgung'!$N17*'Zins und Tilgung'!$N$8/100/12,('Zins und Tilgung'!$N17-SUM($B108:H108))*'Zins und Tilgung'!$N$8/100/12)</f>
        <v>0</v>
      </c>
      <c r="I131" s="35">
        <f>IF(I108=0,'Zins und Tilgung'!$N17*'Zins und Tilgung'!$N$8/100/12,('Zins und Tilgung'!$N17-SUM($B108:I108))*'Zins und Tilgung'!$N$8/100/12)</f>
        <v>0</v>
      </c>
      <c r="J131" s="35">
        <f>IF(J108=0,'Zins und Tilgung'!$N17*'Zins und Tilgung'!$N$8/100/12,('Zins und Tilgung'!$N17-SUM($B108:J108))*'Zins und Tilgung'!$N$8/100/12)</f>
        <v>0</v>
      </c>
      <c r="K131" s="35">
        <f>IF(K108=0,'Zins und Tilgung'!$N17*'Zins und Tilgung'!$N$8/100/12,('Zins und Tilgung'!$N17-SUM($B108:K108))*'Zins und Tilgung'!$N$8/100/12)</f>
        <v>0</v>
      </c>
      <c r="L131" s="35">
        <f>IF(L108=0,'Zins und Tilgung'!$N17*'Zins und Tilgung'!$N$8/100/12,('Zins und Tilgung'!$N17-SUM($B108:L108))*'Zins und Tilgung'!$N$8/100/12)</f>
        <v>0</v>
      </c>
      <c r="M131" s="35">
        <f>IF(M108=0,'Zins und Tilgung'!$N17*'Zins und Tilgung'!$N$8/100/12,('Zins und Tilgung'!$N17-SUM($B108:M108))*'Zins und Tilgung'!$N$8/100/12)</f>
        <v>0</v>
      </c>
      <c r="N131" s="36">
        <f>SUM(B131:M131)</f>
        <v>0</v>
      </c>
      <c r="O131" s="34"/>
    </row>
    <row r="132" spans="1:15" ht="13.2">
      <c r="A132" s="3" t="s">
        <v>433</v>
      </c>
      <c r="B132" s="35">
        <f>IF(B109=0,'Zins und Tilgung'!$T17*'Zins und Tilgung'!$T$8/100/12,('Zins und Tilgung'!$T17-Hilfstabelle!$B109)*'Zins und Tilgung'!$T$8/100/12)</f>
        <v>0</v>
      </c>
      <c r="C132" s="35">
        <f>IF(C109=0,'Zins und Tilgung'!$T17*'Zins und Tilgung'!$T$8/100/12,('Zins und Tilgung'!$T17-SUM($B109:C109))*'Zins und Tilgung'!$T$8/100/12)</f>
        <v>0</v>
      </c>
      <c r="D132" s="35">
        <f>IF(D109=0,'Zins und Tilgung'!$T17*'Zins und Tilgung'!$T$8/100/12,('Zins und Tilgung'!$T17-SUM($B109:D109))*'Zins und Tilgung'!$T$8/100/12)</f>
        <v>0</v>
      </c>
      <c r="E132" s="35">
        <f>IF(E109=0,'Zins und Tilgung'!$T17*'Zins und Tilgung'!$T$8/100/12,('Zins und Tilgung'!$T17-SUM($B109:E109))*'Zins und Tilgung'!$T$8/100/12)</f>
        <v>0</v>
      </c>
      <c r="F132" s="35">
        <f>IF(F109=0,'Zins und Tilgung'!$T17*'Zins und Tilgung'!$T$8/100/12,('Zins und Tilgung'!$T17-SUM($B109:F109))*'Zins und Tilgung'!$T$8/100/12)</f>
        <v>0</v>
      </c>
      <c r="G132" s="35">
        <f>IF(G109=0,'Zins und Tilgung'!$T17*'Zins und Tilgung'!$T$8/100/12,('Zins und Tilgung'!$T17-SUM($B109:G109))*'Zins und Tilgung'!$T$8/100/12)</f>
        <v>0</v>
      </c>
      <c r="H132" s="35">
        <f>IF(H109=0,'Zins und Tilgung'!$T17*'Zins und Tilgung'!$T$8/100/12,('Zins und Tilgung'!$T17-SUM($B109:H109))*'Zins und Tilgung'!$T$8/100/12)</f>
        <v>0</v>
      </c>
      <c r="I132" s="35">
        <f>IF(I109=0,'Zins und Tilgung'!$T17*'Zins und Tilgung'!$T$8/100/12,('Zins und Tilgung'!$T17-SUM($B109:I109))*'Zins und Tilgung'!$T$8/100/12)</f>
        <v>0</v>
      </c>
      <c r="J132" s="35">
        <f>IF(J109=0,'Zins und Tilgung'!$T17*'Zins und Tilgung'!$T$8/100/12,('Zins und Tilgung'!$T17-SUM($B109:J109))*'Zins und Tilgung'!$T$8/100/12)</f>
        <v>0</v>
      </c>
      <c r="K132" s="35">
        <f>IF(K109=0,'Zins und Tilgung'!$T17*'Zins und Tilgung'!$T$8/100/12,('Zins und Tilgung'!$T17-SUM($B109:K109))*'Zins und Tilgung'!$T$8/100/12)</f>
        <v>0</v>
      </c>
      <c r="L132" s="35">
        <f>IF(L109=0,'Zins und Tilgung'!$T17*'Zins und Tilgung'!$T$8/100/12,('Zins und Tilgung'!$T17-SUM($B109:L109))*'Zins und Tilgung'!$T$8/100/12)</f>
        <v>0</v>
      </c>
      <c r="M132" s="35">
        <f>IF(M109=0,'Zins und Tilgung'!$T17*'Zins und Tilgung'!$T$8/100/12,('Zins und Tilgung'!$T17-SUM($B109:M109))*'Zins und Tilgung'!$T$8/100/12)</f>
        <v>0</v>
      </c>
      <c r="N132" s="36">
        <f>SUM(B132:M132)</f>
        <v>0</v>
      </c>
      <c r="O132" s="34"/>
    </row>
    <row r="133" spans="1:15" ht="13.2">
      <c r="A133" s="4" t="s">
        <v>411</v>
      </c>
      <c r="B133" s="35">
        <f>IF(MONTH('Liquiditätsplan-2.Jahr'!D$13)=7,'Zins und Tilgung'!$Z$7*'Zins und Tilgung'!$Z$9/100,0)</f>
        <v>0</v>
      </c>
      <c r="C133" s="35">
        <f>IF(MONTH('Liquiditätsplan-2.Jahr'!E$13)=7,'Zins und Tilgung'!$Z$7*'Zins und Tilgung'!$Z$9/100,0)</f>
        <v>0</v>
      </c>
      <c r="D133" s="35">
        <f>'Zins und Tilgung'!$Z$7*'Zins und Tilgung'!$Z$8*0.25/100+IF(MONTH('Liquiditätsplan-2.Jahr'!F$13)=7,'Zins und Tilgung'!$Z$7*'Zins und Tilgung'!$Z$9/100,0)</f>
        <v>0</v>
      </c>
      <c r="E133" s="35">
        <f>IF(MONTH('Liquiditätsplan-2.Jahr'!G$13)=7,'Zins und Tilgung'!$Z$7*'Zins und Tilgung'!$Z$9/100,0)</f>
        <v>0</v>
      </c>
      <c r="F133" s="35">
        <f>IF(MONTH('Liquiditätsplan-2.Jahr'!H$13)=7,'Zins und Tilgung'!$Z$7*'Zins und Tilgung'!$Z$9/100,0)</f>
        <v>0</v>
      </c>
      <c r="G133" s="35">
        <f>'Zins und Tilgung'!$Z$7*'Zins und Tilgung'!$Z$8*0.25/100+IF(MONTH('Liquiditätsplan-2.Jahr'!I$13)=7,'Zins und Tilgung'!$Z$7*'Zins und Tilgung'!$Z$9/100,0)</f>
        <v>0</v>
      </c>
      <c r="H133" s="35">
        <f>IF(MONTH('Liquiditätsplan-2.Jahr'!J$13)=7,'Zins und Tilgung'!$Z$7*'Zins und Tilgung'!$Z$9/100,0)</f>
        <v>0</v>
      </c>
      <c r="I133" s="35">
        <f>IF(MONTH('Liquiditätsplan-2.Jahr'!K$13)=7,'Zins und Tilgung'!$Z$7*'Zins und Tilgung'!$Z$9/100,0)</f>
        <v>0</v>
      </c>
      <c r="J133" s="35">
        <f>'Zins und Tilgung'!$Z$7*'Zins und Tilgung'!$Z$8*0.25/100+IF(MONTH('Liquiditätsplan-2.Jahr'!L$13)=7,'Zins und Tilgung'!$Z$7*'Zins und Tilgung'!$Z$9/100,0)</f>
        <v>0</v>
      </c>
      <c r="K133" s="35">
        <f>IF(MONTH('Liquiditätsplan-2.Jahr'!M$13)=7,'Zins und Tilgung'!$Z$7*'Zins und Tilgung'!$Z$9/100,0)</f>
        <v>0</v>
      </c>
      <c r="L133" s="35">
        <f>IF(MONTH('Liquiditätsplan-2.Jahr'!N$13)=7,'Zins und Tilgung'!$Z$7*'Zins und Tilgung'!$Z$9/100,0)</f>
        <v>0</v>
      </c>
      <c r="M133" s="35">
        <f>'Zins und Tilgung'!$Z$7*'Zins und Tilgung'!$Z$8*0.25/100+IF(MONTH('Liquiditätsplan-2.Jahr'!O$13)=7,'Zins und Tilgung'!$Z$7*'Zins und Tilgung'!$Z$9/100,0)</f>
        <v>0</v>
      </c>
      <c r="N133" s="36">
        <f>SUM(B133:M133)</f>
        <v>0</v>
      </c>
      <c r="O133" s="34"/>
    </row>
    <row r="134" spans="1:15">
      <c r="A134" s="32" t="s">
        <v>5</v>
      </c>
      <c r="B134" s="35">
        <f t="shared" ref="B134:M134" si="16">SUM(B130:B133)</f>
        <v>0</v>
      </c>
      <c r="C134" s="35">
        <f t="shared" si="16"/>
        <v>0</v>
      </c>
      <c r="D134" s="35">
        <f t="shared" si="16"/>
        <v>0</v>
      </c>
      <c r="E134" s="35">
        <f t="shared" si="16"/>
        <v>0</v>
      </c>
      <c r="F134" s="35">
        <f t="shared" si="16"/>
        <v>0</v>
      </c>
      <c r="G134" s="35">
        <f t="shared" si="16"/>
        <v>0</v>
      </c>
      <c r="H134" s="35">
        <f t="shared" si="16"/>
        <v>0</v>
      </c>
      <c r="I134" s="35">
        <f t="shared" si="16"/>
        <v>0</v>
      </c>
      <c r="J134" s="35">
        <f t="shared" si="16"/>
        <v>0</v>
      </c>
      <c r="K134" s="35">
        <f t="shared" si="16"/>
        <v>0</v>
      </c>
      <c r="L134" s="35">
        <f t="shared" si="16"/>
        <v>0</v>
      </c>
      <c r="M134" s="35">
        <f t="shared" si="16"/>
        <v>0</v>
      </c>
      <c r="N134" s="36">
        <f>SUM(N130:N133)</f>
        <v>0</v>
      </c>
      <c r="O134" s="37">
        <f>SUM(B134:M134)</f>
        <v>0</v>
      </c>
    </row>
    <row r="135" spans="1:15">
      <c r="A135" s="32"/>
      <c r="O135" s="34"/>
    </row>
    <row r="136" spans="1:15">
      <c r="A136" s="32" t="s">
        <v>376</v>
      </c>
      <c r="B136" s="26">
        <v>25</v>
      </c>
      <c r="C136" s="26">
        <v>26</v>
      </c>
      <c r="D136" s="26">
        <v>27</v>
      </c>
      <c r="E136" s="26">
        <v>28</v>
      </c>
      <c r="F136" s="26">
        <v>29</v>
      </c>
      <c r="G136" s="26">
        <v>30</v>
      </c>
      <c r="H136" s="26">
        <v>31</v>
      </c>
      <c r="I136" s="26">
        <v>32</v>
      </c>
      <c r="J136" s="26">
        <v>33</v>
      </c>
      <c r="K136" s="26">
        <v>34</v>
      </c>
      <c r="L136" s="26">
        <v>35</v>
      </c>
      <c r="M136" s="26">
        <v>36</v>
      </c>
      <c r="N136" s="33" t="s">
        <v>5</v>
      </c>
      <c r="O136" s="34"/>
    </row>
    <row r="137" spans="1:15" ht="13.2">
      <c r="A137" s="3" t="s">
        <v>92</v>
      </c>
      <c r="B137" s="35">
        <f>IF(B114=0,'Zins und Tilgung'!$H18*'Zins und Tilgung'!$H$8/100/12,('Zins und Tilgung'!H$18-Hilfstabelle!$B114)*'Zins und Tilgung'!$H$8/100/12)</f>
        <v>0</v>
      </c>
      <c r="C137" s="35">
        <f>IF(C114=0,'Zins und Tilgung'!$H18*'Zins und Tilgung'!$H$8/100/12,('Zins und Tilgung'!$H18-SUM($B114:C114))*'Zins und Tilgung'!$H$8/100/12)</f>
        <v>0</v>
      </c>
      <c r="D137" s="35">
        <f>IF(D114=0,'Zins und Tilgung'!$H18*'Zins und Tilgung'!$H$8/100/12,('Zins und Tilgung'!$H18-SUM($B114:D114))*'Zins und Tilgung'!$H$8/100/12)</f>
        <v>0</v>
      </c>
      <c r="E137" s="35">
        <f>IF(E114=0,'Zins und Tilgung'!$H18*'Zins und Tilgung'!$H$8/100/12,('Zins und Tilgung'!$H18-SUM($B114:E114))*'Zins und Tilgung'!$H$8/100/12)</f>
        <v>0</v>
      </c>
      <c r="F137" s="35">
        <f>IF(F114=0,'Zins und Tilgung'!$H18*'Zins und Tilgung'!$H$8/100/12,('Zins und Tilgung'!$H18-SUM($B114:F114))*'Zins und Tilgung'!$H$8/100/12)</f>
        <v>0</v>
      </c>
      <c r="G137" s="35">
        <f>IF(G114=0,'Zins und Tilgung'!$H18*'Zins und Tilgung'!$H$8/100/12,('Zins und Tilgung'!$H18-SUM($B114:G114))*'Zins und Tilgung'!$H$8/100/12)</f>
        <v>0</v>
      </c>
      <c r="H137" s="35">
        <f>IF(H114=0,'Zins und Tilgung'!$H18*'Zins und Tilgung'!$H$8/100/12,('Zins und Tilgung'!$H18-SUM($B114:H114))*'Zins und Tilgung'!$H$8/100/12)</f>
        <v>0</v>
      </c>
      <c r="I137" s="35">
        <f>IF(I114=0,'Zins und Tilgung'!$H18*'Zins und Tilgung'!$H$8/100/12,('Zins und Tilgung'!$H18-SUM($B114:I114))*'Zins und Tilgung'!$H$8/100/12)</f>
        <v>0</v>
      </c>
      <c r="J137" s="35">
        <f>IF(J114=0,'Zins und Tilgung'!$H18*'Zins und Tilgung'!$H$8/100/12,('Zins und Tilgung'!$H18-SUM($B114:J114))*'Zins und Tilgung'!$H$8/100/12)</f>
        <v>0</v>
      </c>
      <c r="K137" s="35">
        <f>IF(K114=0,'Zins und Tilgung'!$H18*'Zins und Tilgung'!$H$8/100/12,('Zins und Tilgung'!$H18-SUM($B114:K114))*'Zins und Tilgung'!$H$8/100/12)</f>
        <v>0</v>
      </c>
      <c r="L137" s="35">
        <f>IF(L114=0,'Zins und Tilgung'!$H18*'Zins und Tilgung'!$H$8/100/12,('Zins und Tilgung'!$H18-SUM($B114:L114))*'Zins und Tilgung'!$H$8/100/12)</f>
        <v>0</v>
      </c>
      <c r="M137" s="35">
        <f>IF(M114=0,'Zins und Tilgung'!$H18*'Zins und Tilgung'!$H$8/100/12,('Zins und Tilgung'!$H18-SUM($B114:M114))*'Zins und Tilgung'!$H$8/100/12)</f>
        <v>0</v>
      </c>
      <c r="N137" s="36">
        <f>SUM(B137:M137)</f>
        <v>0</v>
      </c>
      <c r="O137" s="34"/>
    </row>
    <row r="138" spans="1:15" ht="13.2">
      <c r="A138" s="3" t="s">
        <v>93</v>
      </c>
      <c r="B138" s="35">
        <f>IF(B115=0,'Zins und Tilgung'!$N18*'Zins und Tilgung'!$N$8/100/12,('Zins und Tilgung'!N$18-Hilfstabelle!$B115)*'Zins und Tilgung'!$N$8/100/12)</f>
        <v>0</v>
      </c>
      <c r="C138" s="35">
        <f>IF(C115=0,'Zins und Tilgung'!$N18*'Zins und Tilgung'!$N$8/100/12,('Zins und Tilgung'!$N18-SUM($B115:C115))*'Zins und Tilgung'!$N$8/100/12)</f>
        <v>0</v>
      </c>
      <c r="D138" s="35">
        <f>IF(D115=0,'Zins und Tilgung'!$N18*'Zins und Tilgung'!$N$8/100/12,('Zins und Tilgung'!$N18-SUM($B115:D115))*'Zins und Tilgung'!$N$8/100/12)</f>
        <v>0</v>
      </c>
      <c r="E138" s="35">
        <f>IF(E115=0,'Zins und Tilgung'!$N18*'Zins und Tilgung'!$N$8/100/12,('Zins und Tilgung'!$N18-SUM($B115:E115))*'Zins und Tilgung'!$N$8/100/12)</f>
        <v>0</v>
      </c>
      <c r="F138" s="35">
        <f>IF(F115=0,'Zins und Tilgung'!$N18*'Zins und Tilgung'!$N$8/100/12,('Zins und Tilgung'!$N18-SUM($B115:F115))*'Zins und Tilgung'!$N$8/100/12)</f>
        <v>0</v>
      </c>
      <c r="G138" s="35">
        <f>IF(G115=0,'Zins und Tilgung'!$N18*'Zins und Tilgung'!$N$8/100/12,('Zins und Tilgung'!$N18-SUM($B115:G115))*'Zins und Tilgung'!$N$8/100/12)</f>
        <v>0</v>
      </c>
      <c r="H138" s="35">
        <f>IF(H115=0,'Zins und Tilgung'!$N18*'Zins und Tilgung'!$N$8/100/12,('Zins und Tilgung'!$N18-SUM($B115:H115))*'Zins und Tilgung'!$N$8/100/12)</f>
        <v>0</v>
      </c>
      <c r="I138" s="35">
        <f>IF(I115=0,'Zins und Tilgung'!$N18*'Zins und Tilgung'!$N$8/100/12,('Zins und Tilgung'!$N18-SUM($B115:I115))*'Zins und Tilgung'!$N$8/100/12)</f>
        <v>0</v>
      </c>
      <c r="J138" s="35">
        <f>IF(J115=0,'Zins und Tilgung'!$N18*'Zins und Tilgung'!$N$8/100/12,('Zins und Tilgung'!$N18-SUM($B115:J115))*'Zins und Tilgung'!$N$8/100/12)</f>
        <v>0</v>
      </c>
      <c r="K138" s="35">
        <f>IF(K115=0,'Zins und Tilgung'!$N18*'Zins und Tilgung'!$N$8/100/12,('Zins und Tilgung'!$N18-SUM($B115:K115))*'Zins und Tilgung'!$N$8/100/12)</f>
        <v>0</v>
      </c>
      <c r="L138" s="35">
        <f>IF(L115=0,'Zins und Tilgung'!$N18*'Zins und Tilgung'!$N$8/100/12,('Zins und Tilgung'!$N18-SUM($B115:L115))*'Zins und Tilgung'!$N$8/100/12)</f>
        <v>0</v>
      </c>
      <c r="M138" s="35">
        <f>IF(M115=0,'Zins und Tilgung'!$N18*'Zins und Tilgung'!$N$8/100/12,('Zins und Tilgung'!$N18-SUM($B115:M115))*'Zins und Tilgung'!$N$8/100/12)</f>
        <v>0</v>
      </c>
      <c r="N138" s="36">
        <f>SUM(B138:M138)</f>
        <v>0</v>
      </c>
      <c r="O138" s="34"/>
    </row>
    <row r="139" spans="1:15" ht="13.2">
      <c r="A139" s="3" t="s">
        <v>433</v>
      </c>
      <c r="B139" s="35">
        <f>IF(B116=0,'Zins und Tilgung'!$T18*'Zins und Tilgung'!$T$8/100/12,('Zins und Tilgung'!$T18-Hilfstabelle!$B116)*'Zins und Tilgung'!$T$8/100/12)</f>
        <v>0</v>
      </c>
      <c r="C139" s="35">
        <f>IF(C116=0,'Zins und Tilgung'!$T18*'Zins und Tilgung'!$T$8/100/12,('Zins und Tilgung'!$T18-SUM($B116:C116))*'Zins und Tilgung'!$T$8/100/12)</f>
        <v>0</v>
      </c>
      <c r="D139" s="35">
        <f>IF(D116=0,'Zins und Tilgung'!$T18*'Zins und Tilgung'!$T$8/100/12,('Zins und Tilgung'!$T18-SUM($B116:D116))*'Zins und Tilgung'!$T$8/100/12)</f>
        <v>0</v>
      </c>
      <c r="E139" s="35">
        <f>IF(E116=0,'Zins und Tilgung'!$T18*'Zins und Tilgung'!$T$8/100/12,('Zins und Tilgung'!$T18-SUM($B116:E116))*'Zins und Tilgung'!$T$8/100/12)</f>
        <v>0</v>
      </c>
      <c r="F139" s="35">
        <f>IF(F116=0,'Zins und Tilgung'!$T18*'Zins und Tilgung'!$T$8/100/12,('Zins und Tilgung'!$T18-SUM($B116:F116))*'Zins und Tilgung'!$T$8/100/12)</f>
        <v>0</v>
      </c>
      <c r="G139" s="35">
        <f>IF(G116=0,'Zins und Tilgung'!$T18*'Zins und Tilgung'!$T$8/100/12,('Zins und Tilgung'!$T18-SUM($B116:G116))*'Zins und Tilgung'!$T$8/100/12)</f>
        <v>0</v>
      </c>
      <c r="H139" s="35">
        <f>IF(H116=0,'Zins und Tilgung'!$T18*'Zins und Tilgung'!$T$8/100/12,('Zins und Tilgung'!$T18-SUM($B116:H116))*'Zins und Tilgung'!$T$8/100/12)</f>
        <v>0</v>
      </c>
      <c r="I139" s="35">
        <f>IF(I116=0,'Zins und Tilgung'!$T18*'Zins und Tilgung'!$T$8/100/12,('Zins und Tilgung'!$T18-SUM($B116:I116))*'Zins und Tilgung'!$T$8/100/12)</f>
        <v>0</v>
      </c>
      <c r="J139" s="35">
        <f>IF(J116=0,'Zins und Tilgung'!$T18*'Zins und Tilgung'!$T$8/100/12,('Zins und Tilgung'!$T18-SUM($B116:J116))*'Zins und Tilgung'!$T$8/100/12)</f>
        <v>0</v>
      </c>
      <c r="K139" s="35">
        <f>IF(K116=0,'Zins und Tilgung'!$T18*'Zins und Tilgung'!$T$8/100/12,('Zins und Tilgung'!$T18-SUM($B116:K116))*'Zins und Tilgung'!$T$8/100/12)</f>
        <v>0</v>
      </c>
      <c r="L139" s="35">
        <f>IF(L116=0,'Zins und Tilgung'!$T18*'Zins und Tilgung'!$T$8/100/12,('Zins und Tilgung'!$T18-SUM($B116:L116))*'Zins und Tilgung'!$T$8/100/12)</f>
        <v>0</v>
      </c>
      <c r="M139" s="35">
        <f>IF(M116=0,'Zins und Tilgung'!$T18*'Zins und Tilgung'!$T$8/100/12,('Zins und Tilgung'!$T18-SUM($B116:M116))*'Zins und Tilgung'!$T$8/100/12)</f>
        <v>0</v>
      </c>
      <c r="N139" s="36">
        <f>SUM(B139:M139)</f>
        <v>0</v>
      </c>
      <c r="O139" s="34"/>
    </row>
    <row r="140" spans="1:15" ht="13.2">
      <c r="A140" s="4" t="s">
        <v>411</v>
      </c>
      <c r="B140" s="35">
        <f>IF(MONTH('Liquiditätsplan-3.Jahr'!D$13)=7,'Zins und Tilgung'!$Z$7*'Zins und Tilgung'!$Z$9/100,0)</f>
        <v>0</v>
      </c>
      <c r="C140" s="35">
        <f>IF(MONTH('Liquiditätsplan-3.Jahr'!E$13)=7,'Zins und Tilgung'!$Z$7*'Zins und Tilgung'!$Z$9/100,0)</f>
        <v>0</v>
      </c>
      <c r="D140" s="35">
        <f>'Zins und Tilgung'!$Z$7*'Zins und Tilgung'!$Z$8*0.25/100+IF(MONTH('Liquiditätsplan-3.Jahr'!F$13)=7,'Zins und Tilgung'!$Z$7*'Zins und Tilgung'!$Z$9/100,0)</f>
        <v>0</v>
      </c>
      <c r="E140" s="35">
        <f>IF(MONTH('Liquiditätsplan-3.Jahr'!G$13)=7,'Zins und Tilgung'!$Z$7*'Zins und Tilgung'!$Z$9/100,0)</f>
        <v>0</v>
      </c>
      <c r="F140" s="35">
        <f>IF(MONTH('Liquiditätsplan-3.Jahr'!H$13)=7,'Zins und Tilgung'!$Z$7*'Zins und Tilgung'!$Z$9/100,0)</f>
        <v>0</v>
      </c>
      <c r="G140" s="35">
        <f>'Zins und Tilgung'!$Z$7*'Zins und Tilgung'!$Z$8*0.25/100+IF(MONTH('Liquiditätsplan-3.Jahr'!I$13)=7,'Zins und Tilgung'!$Z$7*'Zins und Tilgung'!$Z$9/100,0)</f>
        <v>0</v>
      </c>
      <c r="H140" s="35">
        <f>IF(MONTH('Liquiditätsplan-3.Jahr'!J$13)=7,'Zins und Tilgung'!$Z$7*'Zins und Tilgung'!$Z$9/100,0)</f>
        <v>0</v>
      </c>
      <c r="I140" s="35">
        <f>IF(MONTH('Liquiditätsplan-3.Jahr'!K$13)=7,'Zins und Tilgung'!$Z$7*'Zins und Tilgung'!$Z$9/100,0)</f>
        <v>0</v>
      </c>
      <c r="J140" s="35">
        <f>'Zins und Tilgung'!$Z$7*'Zins und Tilgung'!$Z$8*0.25/100+IF(MONTH('Liquiditätsplan-3.Jahr'!L$13)=7,'Zins und Tilgung'!$Z$7*'Zins und Tilgung'!$Z$9/100,0)</f>
        <v>0</v>
      </c>
      <c r="K140" s="35">
        <f>IF(MONTH('Liquiditätsplan-3.Jahr'!M$13)=7,'Zins und Tilgung'!$Z$7*'Zins und Tilgung'!$Z$9/100,0)</f>
        <v>0</v>
      </c>
      <c r="L140" s="35">
        <f>IF(MONTH('Liquiditätsplan-3.Jahr'!N$13)=7,'Zins und Tilgung'!$Z$7*'Zins und Tilgung'!$Z$9/100,0)</f>
        <v>0</v>
      </c>
      <c r="M140" s="35">
        <f>'Zins und Tilgung'!$Z$7*'Zins und Tilgung'!$Z$8*0.25/100+IF(MONTH('Liquiditätsplan-3.Jahr'!O$13)=7,'Zins und Tilgung'!$Z$7*'Zins und Tilgung'!$Z$9/100,0)</f>
        <v>0</v>
      </c>
      <c r="N140" s="36">
        <f>SUM(B140:M140)</f>
        <v>0</v>
      </c>
      <c r="O140" s="34"/>
    </row>
    <row r="141" spans="1:15">
      <c r="A141" s="38" t="s">
        <v>5</v>
      </c>
      <c r="B141" s="39">
        <f t="shared" ref="B141:M141" si="17">SUM(B137:B140)</f>
        <v>0</v>
      </c>
      <c r="C141" s="39">
        <f t="shared" si="17"/>
        <v>0</v>
      </c>
      <c r="D141" s="39">
        <f t="shared" si="17"/>
        <v>0</v>
      </c>
      <c r="E141" s="39">
        <f t="shared" si="17"/>
        <v>0</v>
      </c>
      <c r="F141" s="39">
        <f t="shared" si="17"/>
        <v>0</v>
      </c>
      <c r="G141" s="39">
        <f t="shared" si="17"/>
        <v>0</v>
      </c>
      <c r="H141" s="39">
        <f t="shared" si="17"/>
        <v>0</v>
      </c>
      <c r="I141" s="39">
        <f t="shared" si="17"/>
        <v>0</v>
      </c>
      <c r="J141" s="39">
        <f t="shared" si="17"/>
        <v>0</v>
      </c>
      <c r="K141" s="39">
        <f t="shared" si="17"/>
        <v>0</v>
      </c>
      <c r="L141" s="39">
        <f t="shared" si="17"/>
        <v>0</v>
      </c>
      <c r="M141" s="39">
        <f t="shared" si="17"/>
        <v>0</v>
      </c>
      <c r="N141" s="40">
        <f>SUM(N137:N140)</f>
        <v>0</v>
      </c>
      <c r="O141" s="41">
        <f>SUM(B141:M141)</f>
        <v>0</v>
      </c>
    </row>
    <row r="144" spans="1:15">
      <c r="A144" s="29" t="s">
        <v>555</v>
      </c>
      <c r="B144" s="30"/>
      <c r="C144" s="30"/>
      <c r="D144" s="30"/>
      <c r="E144" s="30" t="s">
        <v>556</v>
      </c>
      <c r="F144" s="30"/>
      <c r="G144" s="30"/>
      <c r="H144" s="31"/>
      <c r="I144" s="32"/>
    </row>
    <row r="145" spans="1:13">
      <c r="A145" s="32"/>
      <c r="H145" s="34"/>
      <c r="I145" s="32"/>
    </row>
    <row r="146" spans="1:13">
      <c r="A146" s="32"/>
      <c r="B146" s="26" t="s">
        <v>563</v>
      </c>
      <c r="E146" s="26" t="str">
        <f>B146</f>
        <v>Umsatz</v>
      </c>
      <c r="H146" s="34" t="str">
        <f>E146</f>
        <v>Umsatz</v>
      </c>
      <c r="I146" s="32"/>
    </row>
    <row r="147" spans="1:13">
      <c r="A147" s="32" t="s">
        <v>343</v>
      </c>
      <c r="B147" s="1017">
        <f>Rentabilität!F22</f>
        <v>0</v>
      </c>
      <c r="D147" s="26" t="s">
        <v>350</v>
      </c>
      <c r="E147" s="1017">
        <f>Rentabilität!H22</f>
        <v>0</v>
      </c>
      <c r="G147" s="26" t="s">
        <v>376</v>
      </c>
      <c r="H147" s="1018">
        <f>Rentabilität!J22</f>
        <v>0</v>
      </c>
      <c r="I147" s="32"/>
    </row>
    <row r="148" spans="1:13">
      <c r="A148" s="32"/>
      <c r="H148" s="34"/>
      <c r="I148" s="32"/>
    </row>
    <row r="149" spans="1:13">
      <c r="A149" s="32" t="s">
        <v>557</v>
      </c>
      <c r="H149" s="34"/>
      <c r="I149" s="32"/>
    </row>
    <row r="150" spans="1:13">
      <c r="A150" s="32" t="s">
        <v>558</v>
      </c>
      <c r="B150" s="26" t="str">
        <f>Startseite!D18</f>
        <v>nein</v>
      </c>
      <c r="E150" s="26" t="str">
        <f>Startseite!D18</f>
        <v>nein</v>
      </c>
      <c r="H150" s="34" t="str">
        <f>Startseite!D18</f>
        <v>nein</v>
      </c>
      <c r="I150" s="32"/>
    </row>
    <row r="151" spans="1:13">
      <c r="A151" s="32" t="s">
        <v>559</v>
      </c>
      <c r="B151" s="26" t="str">
        <f>IF(AND(B147&lt;=22000,E147&lt;=50000),"ja","nein")</f>
        <v>ja</v>
      </c>
      <c r="E151" s="26" t="str">
        <f>IF(AND(B147&lt;=22000,E147&lt;=50000),"ja","nein")</f>
        <v>ja</v>
      </c>
      <c r="H151" s="34" t="str">
        <f>IF(AND(E147&lt;=22000,H147&lt;=50000),"ja","nein")</f>
        <v>ja</v>
      </c>
      <c r="I151" s="32"/>
    </row>
    <row r="152" spans="1:13">
      <c r="A152" s="32"/>
      <c r="H152" s="34"/>
      <c r="I152" s="32"/>
    </row>
    <row r="153" spans="1:13">
      <c r="A153" s="38" t="s">
        <v>426</v>
      </c>
      <c r="B153" s="1019" t="str">
        <f>IF(AND(B150="ja",B151="ja"),"nein","ja")</f>
        <v>ja</v>
      </c>
      <c r="C153" s="1019"/>
      <c r="D153" s="1019"/>
      <c r="E153" s="1019" t="str">
        <f t="shared" ref="E153:H153" si="18">IF(AND(E150="ja",E151="ja"),"nein","ja")</f>
        <v>ja</v>
      </c>
      <c r="F153" s="1019"/>
      <c r="G153" s="1019"/>
      <c r="H153" s="43" t="str">
        <f t="shared" si="18"/>
        <v>ja</v>
      </c>
      <c r="I153" s="32"/>
    </row>
    <row r="157" spans="1:13">
      <c r="A157" s="29" t="s">
        <v>573</v>
      </c>
      <c r="B157" s="30"/>
      <c r="C157" s="30"/>
      <c r="D157" s="30"/>
      <c r="E157" s="30"/>
      <c r="F157" s="30"/>
      <c r="G157" s="30"/>
      <c r="H157" s="30"/>
      <c r="I157" s="30"/>
      <c r="J157" s="30"/>
      <c r="K157" s="30"/>
      <c r="L157" s="30"/>
      <c r="M157" s="31"/>
    </row>
    <row r="158" spans="1:13">
      <c r="A158" s="1031"/>
      <c r="B158" s="26">
        <v>1</v>
      </c>
      <c r="C158" s="26">
        <v>2</v>
      </c>
      <c r="D158" s="26">
        <v>3</v>
      </c>
      <c r="E158" s="26">
        <v>4</v>
      </c>
      <c r="F158" s="26">
        <v>5</v>
      </c>
      <c r="G158" s="26">
        <v>6</v>
      </c>
      <c r="H158" s="26">
        <v>7</v>
      </c>
      <c r="I158" s="26">
        <v>8</v>
      </c>
      <c r="J158" s="26">
        <v>9</v>
      </c>
      <c r="K158" s="26">
        <v>10</v>
      </c>
      <c r="L158" s="26">
        <v>11</v>
      </c>
      <c r="M158" s="34">
        <v>12</v>
      </c>
    </row>
    <row r="159" spans="1:13">
      <c r="A159" s="1031" t="s">
        <v>61</v>
      </c>
      <c r="B159" s="1032">
        <f>IF(AND('Liquiditätsplan-1.Jahr'!$C$14=0,'Liquiditätsplan-2.Jahr'!$C$14&gt;0),'Liquiditätsplan-2.Jahr'!$C$14/12,IF('Liquiditätsplan-2.Jahr'!$C$14&gt;0,'Liquiditätsplan-1.Jahr'!D14/'Liquiditätsplan-1.Jahr'!$C$14*'Liquiditätsplan-2.Jahr'!$C$14,0))</f>
        <v>0</v>
      </c>
      <c r="C159" s="1032">
        <f>IF(AND('Liquiditätsplan-1.Jahr'!D14=0,'Liquiditätsplan-2.Jahr'!D14&gt;0),'Liquiditätsplan-2.Jahr'!D14/12,IF('Liquiditätsplan-2.Jahr'!D14&gt;0,'Liquiditätsplan-1.Jahr'!E14/'Liquiditätsplan-1.Jahr'!D14*'Liquiditätsplan-2.Jahr'!D14,0))</f>
        <v>0</v>
      </c>
      <c r="D159" s="1032">
        <f>IF(AND('Liquiditätsplan-1.Jahr'!E14=0,'Liquiditätsplan-2.Jahr'!E14&gt;0),'Liquiditätsplan-2.Jahr'!E14/12,IF('Liquiditätsplan-2.Jahr'!E14&gt;0,'Liquiditätsplan-1.Jahr'!F14/'Liquiditätsplan-1.Jahr'!E14*'Liquiditätsplan-2.Jahr'!E14,0))</f>
        <v>0</v>
      </c>
      <c r="E159" s="1032">
        <f>IF(AND('Liquiditätsplan-1.Jahr'!F14=0,'Liquiditätsplan-2.Jahr'!F14&gt;0),'Liquiditätsplan-2.Jahr'!F14/12,IF('Liquiditätsplan-2.Jahr'!F14&gt;0,'Liquiditätsplan-1.Jahr'!G14/'Liquiditätsplan-1.Jahr'!F14*'Liquiditätsplan-2.Jahr'!F14,0))</f>
        <v>0</v>
      </c>
      <c r="F159" s="1032">
        <f>IF(AND('Liquiditätsplan-1.Jahr'!G14=0,'Liquiditätsplan-2.Jahr'!G14&gt;0),'Liquiditätsplan-2.Jahr'!G14/12,IF('Liquiditätsplan-2.Jahr'!G14&gt;0,'Liquiditätsplan-1.Jahr'!H14/'Liquiditätsplan-1.Jahr'!G14*'Liquiditätsplan-2.Jahr'!G14,0))</f>
        <v>0</v>
      </c>
      <c r="G159" s="1032">
        <f>IF(AND('Liquiditätsplan-1.Jahr'!H14=0,'Liquiditätsplan-2.Jahr'!H14&gt;0),'Liquiditätsplan-2.Jahr'!H14/12,IF('Liquiditätsplan-2.Jahr'!H14&gt;0,'Liquiditätsplan-1.Jahr'!I14/'Liquiditätsplan-1.Jahr'!H14*'Liquiditätsplan-2.Jahr'!H14,0))</f>
        <v>0</v>
      </c>
      <c r="H159" s="1032">
        <f>IF(AND('Liquiditätsplan-1.Jahr'!I14=0,'Liquiditätsplan-2.Jahr'!I14&gt;0),'Liquiditätsplan-2.Jahr'!I14/12,IF('Liquiditätsplan-2.Jahr'!I14&gt;0,'Liquiditätsplan-1.Jahr'!J14/'Liquiditätsplan-1.Jahr'!I14*'Liquiditätsplan-2.Jahr'!I14,0))</f>
        <v>0</v>
      </c>
      <c r="I159" s="1032">
        <f>IF(AND('Liquiditätsplan-1.Jahr'!J14=0,'Liquiditätsplan-2.Jahr'!J14&gt;0),'Liquiditätsplan-2.Jahr'!J14/12,IF('Liquiditätsplan-2.Jahr'!J14&gt;0,'Liquiditätsplan-1.Jahr'!K14/'Liquiditätsplan-1.Jahr'!J14*'Liquiditätsplan-2.Jahr'!J14,0))</f>
        <v>0</v>
      </c>
      <c r="J159" s="1032">
        <f>IF(AND('Liquiditätsplan-1.Jahr'!K14=0,'Liquiditätsplan-2.Jahr'!K14&gt;0),'Liquiditätsplan-2.Jahr'!K14/12,IF('Liquiditätsplan-2.Jahr'!K14&gt;0,'Liquiditätsplan-1.Jahr'!L14/'Liquiditätsplan-1.Jahr'!K14*'Liquiditätsplan-2.Jahr'!K14,0))</f>
        <v>0</v>
      </c>
      <c r="K159" s="1032">
        <f>IF(AND('Liquiditätsplan-1.Jahr'!L14=0,'Liquiditätsplan-2.Jahr'!L14&gt;0),'Liquiditätsplan-2.Jahr'!L14/12,IF('Liquiditätsplan-2.Jahr'!L14&gt;0,'Liquiditätsplan-1.Jahr'!M14/'Liquiditätsplan-1.Jahr'!L14*'Liquiditätsplan-2.Jahr'!L14,0))</f>
        <v>0</v>
      </c>
      <c r="L159" s="1032">
        <f>IF(AND('Liquiditätsplan-1.Jahr'!M14=0,'Liquiditätsplan-2.Jahr'!M14&gt;0),'Liquiditätsplan-2.Jahr'!M14/12,IF('Liquiditätsplan-2.Jahr'!M14&gt;0,'Liquiditätsplan-1.Jahr'!N14/'Liquiditätsplan-1.Jahr'!M14*'Liquiditätsplan-2.Jahr'!M14,0))</f>
        <v>0</v>
      </c>
      <c r="M159" s="1033">
        <f>IF(AND('Liquiditätsplan-1.Jahr'!N14=0,'Liquiditätsplan-2.Jahr'!N14&gt;0),'Liquiditätsplan-2.Jahr'!N14/12,IF('Liquiditätsplan-2.Jahr'!N14&gt;0,'Liquiditätsplan-1.Jahr'!O14/'Liquiditätsplan-1.Jahr'!N14*'Liquiditätsplan-2.Jahr'!N14,0))</f>
        <v>0</v>
      </c>
    </row>
    <row r="160" spans="1:13">
      <c r="A160" s="1031" t="s">
        <v>76</v>
      </c>
      <c r="B160" s="1032">
        <f>IF(AND('Liquiditätsplan-1.Jahr'!$C$27=0,'Liquiditätsplan-2.Jahr'!$C$27&gt;0),'Liquiditätsplan-2.Jahr'!$C$27/12,IF('Liquiditätsplan-2.Jahr'!$C$27&gt;0,'Liquiditätsplan-1.Jahr'!D27/'Liquiditätsplan-1.Jahr'!$C$27*'Liquiditätsplan-2.Jahr'!$C$27,0))</f>
        <v>0</v>
      </c>
      <c r="C160" s="1032">
        <f>IF(AND('Liquiditätsplan-1.Jahr'!$C$27=0,'Liquiditätsplan-2.Jahr'!$C$27&gt;0),'Liquiditätsplan-2.Jahr'!$C$27/12,IF('Liquiditätsplan-2.Jahr'!$C$27&gt;0,'Liquiditätsplan-1.Jahr'!E27/'Liquiditätsplan-1.Jahr'!$C$27*'Liquiditätsplan-2.Jahr'!$C$27,0))</f>
        <v>0</v>
      </c>
      <c r="D160" s="1032">
        <f>IF(AND('Liquiditätsplan-1.Jahr'!$C$27=0,'Liquiditätsplan-2.Jahr'!$C$27&gt;0),'Liquiditätsplan-2.Jahr'!$C$27/12,IF('Liquiditätsplan-2.Jahr'!$C$27&gt;0,'Liquiditätsplan-1.Jahr'!F27/'Liquiditätsplan-1.Jahr'!$C$27*'Liquiditätsplan-2.Jahr'!$C$27,0))</f>
        <v>0</v>
      </c>
      <c r="E160" s="1032">
        <f>IF(AND('Liquiditätsplan-1.Jahr'!$C$27=0,'Liquiditätsplan-2.Jahr'!$C$27&gt;0),'Liquiditätsplan-2.Jahr'!$C$27/12,IF('Liquiditätsplan-2.Jahr'!$C$27&gt;0,'Liquiditätsplan-1.Jahr'!G27/'Liquiditätsplan-1.Jahr'!$C$27*'Liquiditätsplan-2.Jahr'!$C$27,0))</f>
        <v>0</v>
      </c>
      <c r="F160" s="1032">
        <f>IF(AND('Liquiditätsplan-1.Jahr'!$C$27=0,'Liquiditätsplan-2.Jahr'!$C$27&gt;0),'Liquiditätsplan-2.Jahr'!$C$27/12,IF('Liquiditätsplan-2.Jahr'!$C$27&gt;0,'Liquiditätsplan-1.Jahr'!H27/'Liquiditätsplan-1.Jahr'!$C$27*'Liquiditätsplan-2.Jahr'!$C$27,0))</f>
        <v>0</v>
      </c>
      <c r="G160" s="1032">
        <f>IF(AND('Liquiditätsplan-1.Jahr'!$C$27=0,'Liquiditätsplan-2.Jahr'!$C$27&gt;0),'Liquiditätsplan-2.Jahr'!$C$27/12,IF('Liquiditätsplan-2.Jahr'!$C$27&gt;0,'Liquiditätsplan-1.Jahr'!I27/'Liquiditätsplan-1.Jahr'!$C$27*'Liquiditätsplan-2.Jahr'!$C$27,0))</f>
        <v>0</v>
      </c>
      <c r="H160" s="1032">
        <f>IF(AND('Liquiditätsplan-1.Jahr'!$C$27=0,'Liquiditätsplan-2.Jahr'!$C$27&gt;0),'Liquiditätsplan-2.Jahr'!$C$27/12,IF('Liquiditätsplan-2.Jahr'!$C$27&gt;0,'Liquiditätsplan-1.Jahr'!J27/'Liquiditätsplan-1.Jahr'!$C$27*'Liquiditätsplan-2.Jahr'!$C$27,0))</f>
        <v>0</v>
      </c>
      <c r="I160" s="1032">
        <f>IF(AND('Liquiditätsplan-1.Jahr'!$C$27=0,'Liquiditätsplan-2.Jahr'!$C$27&gt;0),'Liquiditätsplan-2.Jahr'!$C$27/12,IF('Liquiditätsplan-2.Jahr'!$C$27&gt;0,'Liquiditätsplan-1.Jahr'!K27/'Liquiditätsplan-1.Jahr'!$C$27*'Liquiditätsplan-2.Jahr'!$C$27,0))</f>
        <v>0</v>
      </c>
      <c r="J160" s="1032">
        <f>IF(AND('Liquiditätsplan-1.Jahr'!$C$27=0,'Liquiditätsplan-2.Jahr'!$C$27&gt;0),'Liquiditätsplan-2.Jahr'!$C$27/12,IF('Liquiditätsplan-2.Jahr'!$C$27&gt;0,'Liquiditätsplan-1.Jahr'!L27/'Liquiditätsplan-1.Jahr'!$C$27*'Liquiditätsplan-2.Jahr'!$C$27,0))</f>
        <v>0</v>
      </c>
      <c r="K160" s="1032">
        <f>IF(AND('Liquiditätsplan-1.Jahr'!$C$27=0,'Liquiditätsplan-2.Jahr'!$C$27&gt;0),'Liquiditätsplan-2.Jahr'!$C$27/12,IF('Liquiditätsplan-2.Jahr'!$C$27&gt;0,'Liquiditätsplan-1.Jahr'!M27/'Liquiditätsplan-1.Jahr'!$C$27*'Liquiditätsplan-2.Jahr'!$C$27,0))</f>
        <v>0</v>
      </c>
      <c r="L160" s="1032">
        <f>IF(AND('Liquiditätsplan-1.Jahr'!$C$27=0,'Liquiditätsplan-2.Jahr'!$C$27&gt;0),'Liquiditätsplan-2.Jahr'!$C$27/12,IF('Liquiditätsplan-2.Jahr'!$C$27&gt;0,'Liquiditätsplan-1.Jahr'!N27/'Liquiditätsplan-1.Jahr'!$C$27*'Liquiditätsplan-2.Jahr'!$C$27,0))</f>
        <v>0</v>
      </c>
      <c r="M160" s="1033">
        <f>IF(AND('Liquiditätsplan-1.Jahr'!$C$27=0,'Liquiditätsplan-2.Jahr'!$C$27&gt;0),'Liquiditätsplan-2.Jahr'!$C$27/12,IF('Liquiditätsplan-2.Jahr'!$C$27&gt;0,'Liquiditätsplan-1.Jahr'!O27/'Liquiditätsplan-1.Jahr'!$C$27*'Liquiditätsplan-2.Jahr'!$C$27,0))</f>
        <v>0</v>
      </c>
    </row>
    <row r="161" spans="1:16">
      <c r="A161" s="1031" t="s">
        <v>40</v>
      </c>
      <c r="B161" s="1032">
        <f>IF(AND('Liquiditätsplan-1.Jahr'!$C$28=0,'Liquiditätsplan-2.Jahr'!$C$28&gt;0),'Liquiditätsplan-2.Jahr'!$C$28/12,IF('Liquiditätsplan-2.Jahr'!$C$28&gt;0,'Liquiditätsplan-1.Jahr'!D28/'Liquiditätsplan-1.Jahr'!$C$28*'Liquiditätsplan-2.Jahr'!$C$28,0))</f>
        <v>0</v>
      </c>
      <c r="C161" s="1032">
        <f>IF(AND('Liquiditätsplan-1.Jahr'!$C$28=0,'Liquiditätsplan-2.Jahr'!$C$28&gt;0),'Liquiditätsplan-2.Jahr'!$C$28/12,IF('Liquiditätsplan-2.Jahr'!$C$28&gt;0,'Liquiditätsplan-1.Jahr'!E28/'Liquiditätsplan-1.Jahr'!$C$28*'Liquiditätsplan-2.Jahr'!$C$28,0))</f>
        <v>0</v>
      </c>
      <c r="D161" s="1032">
        <f>IF(AND('Liquiditätsplan-1.Jahr'!$C$28=0,'Liquiditätsplan-2.Jahr'!$C$28&gt;0),'Liquiditätsplan-2.Jahr'!$C$28/12,IF('Liquiditätsplan-2.Jahr'!$C$28&gt;0,'Liquiditätsplan-1.Jahr'!F28/'Liquiditätsplan-1.Jahr'!$C$28*'Liquiditätsplan-2.Jahr'!$C$28,0))</f>
        <v>0</v>
      </c>
      <c r="E161" s="1032">
        <f>IF(AND('Liquiditätsplan-1.Jahr'!$C$28=0,'Liquiditätsplan-2.Jahr'!$C$28&gt;0),'Liquiditätsplan-2.Jahr'!$C$28/12,IF('Liquiditätsplan-2.Jahr'!$C$28&gt;0,'Liquiditätsplan-1.Jahr'!G28/'Liquiditätsplan-1.Jahr'!$C$28*'Liquiditätsplan-2.Jahr'!$C$28,0))</f>
        <v>0</v>
      </c>
      <c r="F161" s="1032">
        <f>IF(AND('Liquiditätsplan-1.Jahr'!$C$28=0,'Liquiditätsplan-2.Jahr'!$C$28&gt;0),'Liquiditätsplan-2.Jahr'!$C$28/12,IF('Liquiditätsplan-2.Jahr'!$C$28&gt;0,'Liquiditätsplan-1.Jahr'!H28/'Liquiditätsplan-1.Jahr'!$C$28*'Liquiditätsplan-2.Jahr'!$C$28,0))</f>
        <v>0</v>
      </c>
      <c r="G161" s="1032">
        <f>IF(AND('Liquiditätsplan-1.Jahr'!$C$28=0,'Liquiditätsplan-2.Jahr'!$C$28&gt;0),'Liquiditätsplan-2.Jahr'!$C$28/12,IF('Liquiditätsplan-2.Jahr'!$C$28&gt;0,'Liquiditätsplan-1.Jahr'!I28/'Liquiditätsplan-1.Jahr'!$C$28*'Liquiditätsplan-2.Jahr'!$C$28,0))</f>
        <v>0</v>
      </c>
      <c r="H161" s="1032">
        <f>IF(AND('Liquiditätsplan-1.Jahr'!$C$28=0,'Liquiditätsplan-2.Jahr'!$C$28&gt;0),'Liquiditätsplan-2.Jahr'!$C$28/12,IF('Liquiditätsplan-2.Jahr'!$C$28&gt;0,'Liquiditätsplan-1.Jahr'!J28/'Liquiditätsplan-1.Jahr'!$C$28*'Liquiditätsplan-2.Jahr'!$C$28,0))</f>
        <v>0</v>
      </c>
      <c r="I161" s="1032">
        <f>IF(AND('Liquiditätsplan-1.Jahr'!$C$28=0,'Liquiditätsplan-2.Jahr'!$C$28&gt;0),'Liquiditätsplan-2.Jahr'!$C$28/12,IF('Liquiditätsplan-2.Jahr'!$C$28&gt;0,'Liquiditätsplan-1.Jahr'!K28/'Liquiditätsplan-1.Jahr'!$C$28*'Liquiditätsplan-2.Jahr'!$C$28,0))</f>
        <v>0</v>
      </c>
      <c r="J161" s="1032">
        <f>IF(AND('Liquiditätsplan-1.Jahr'!$C$28=0,'Liquiditätsplan-2.Jahr'!$C$28&gt;0),'Liquiditätsplan-2.Jahr'!$C$28/12,IF('Liquiditätsplan-2.Jahr'!$C$28&gt;0,'Liquiditätsplan-1.Jahr'!L28/'Liquiditätsplan-1.Jahr'!$C$28*'Liquiditätsplan-2.Jahr'!$C$28,0))</f>
        <v>0</v>
      </c>
      <c r="K161" s="1032">
        <f>IF(AND('Liquiditätsplan-1.Jahr'!$C$28=0,'Liquiditätsplan-2.Jahr'!$C$28&gt;0),'Liquiditätsplan-2.Jahr'!$C$28/12,IF('Liquiditätsplan-2.Jahr'!$C$28&gt;0,'Liquiditätsplan-1.Jahr'!M28/'Liquiditätsplan-1.Jahr'!$C$28*'Liquiditätsplan-2.Jahr'!$C$28,0))</f>
        <v>0</v>
      </c>
      <c r="L161" s="1032">
        <f>IF(AND('Liquiditätsplan-1.Jahr'!$C$28=0,'Liquiditätsplan-2.Jahr'!$C$28&gt;0),'Liquiditätsplan-2.Jahr'!$C$28/12,IF('Liquiditätsplan-2.Jahr'!$C$28&gt;0,'Liquiditätsplan-1.Jahr'!N28/'Liquiditätsplan-1.Jahr'!$C$28*'Liquiditätsplan-2.Jahr'!$C$28,0))</f>
        <v>0</v>
      </c>
      <c r="M161" s="1033">
        <f>IF(AND('Liquiditätsplan-1.Jahr'!$C$28=0,'Liquiditätsplan-2.Jahr'!$C$28&gt;0),'Liquiditätsplan-2.Jahr'!$C$28/12,IF('Liquiditätsplan-2.Jahr'!$C$28&gt;0,'Liquiditätsplan-1.Jahr'!O28/'Liquiditätsplan-1.Jahr'!$C$28*'Liquiditätsplan-2.Jahr'!$C$28,0))</f>
        <v>0</v>
      </c>
    </row>
    <row r="162" spans="1:16">
      <c r="A162" s="1031" t="s">
        <v>37</v>
      </c>
      <c r="B162" s="1032">
        <f>IF(AND('Liquiditätsplan-1.Jahr'!$C$29=0,'Liquiditätsplan-2.Jahr'!$C$29&gt;0),'Liquiditätsplan-2.Jahr'!$C$29/12,IF('Liquiditätsplan-2.Jahr'!$C$29&gt;0,'Liquiditätsplan-1.Jahr'!D29/'Liquiditätsplan-1.Jahr'!$C$29*'Liquiditätsplan-2.Jahr'!$C$29,0))</f>
        <v>0</v>
      </c>
      <c r="C162" s="1032">
        <f>IF(AND('Liquiditätsplan-1.Jahr'!$C$29=0,'Liquiditätsplan-2.Jahr'!$C$29&gt;0),'Liquiditätsplan-2.Jahr'!$C$29/12,IF('Liquiditätsplan-2.Jahr'!$C$29&gt;0,'Liquiditätsplan-1.Jahr'!E29/'Liquiditätsplan-1.Jahr'!$C$29*'Liquiditätsplan-2.Jahr'!$C$29,0))</f>
        <v>0</v>
      </c>
      <c r="D162" s="1032">
        <f>IF(AND('Liquiditätsplan-1.Jahr'!$C$29=0,'Liquiditätsplan-2.Jahr'!$C$29&gt;0),'Liquiditätsplan-2.Jahr'!$C$29/12,IF('Liquiditätsplan-2.Jahr'!$C$29&gt;0,'Liquiditätsplan-1.Jahr'!F29/'Liquiditätsplan-1.Jahr'!$C$29*'Liquiditätsplan-2.Jahr'!$C$29,0))</f>
        <v>0</v>
      </c>
      <c r="E162" s="1032">
        <f>IF(AND('Liquiditätsplan-1.Jahr'!$C$29=0,'Liquiditätsplan-2.Jahr'!$C$29&gt;0),'Liquiditätsplan-2.Jahr'!$C$29/12,IF('Liquiditätsplan-2.Jahr'!$C$29&gt;0,'Liquiditätsplan-1.Jahr'!G29/'Liquiditätsplan-1.Jahr'!$C$29*'Liquiditätsplan-2.Jahr'!$C$29,0))</f>
        <v>0</v>
      </c>
      <c r="F162" s="1032">
        <f>IF(AND('Liquiditätsplan-1.Jahr'!$C$29=0,'Liquiditätsplan-2.Jahr'!$C$29&gt;0),'Liquiditätsplan-2.Jahr'!$C$29/12,IF('Liquiditätsplan-2.Jahr'!$C$29&gt;0,'Liquiditätsplan-1.Jahr'!H29/'Liquiditätsplan-1.Jahr'!$C$29*'Liquiditätsplan-2.Jahr'!$C$29,0))</f>
        <v>0</v>
      </c>
      <c r="G162" s="1032">
        <f>IF(AND('Liquiditätsplan-1.Jahr'!$C$29=0,'Liquiditätsplan-2.Jahr'!$C$29&gt;0),'Liquiditätsplan-2.Jahr'!$C$29/12,IF('Liquiditätsplan-2.Jahr'!$C$29&gt;0,'Liquiditätsplan-1.Jahr'!I29/'Liquiditätsplan-1.Jahr'!$C$29*'Liquiditätsplan-2.Jahr'!$C$29,0))</f>
        <v>0</v>
      </c>
      <c r="H162" s="1032">
        <f>IF(AND('Liquiditätsplan-1.Jahr'!$C$29=0,'Liquiditätsplan-2.Jahr'!$C$29&gt;0),'Liquiditätsplan-2.Jahr'!$C$29/12,IF('Liquiditätsplan-2.Jahr'!$C$29&gt;0,'Liquiditätsplan-1.Jahr'!J29/'Liquiditätsplan-1.Jahr'!$C$29*'Liquiditätsplan-2.Jahr'!$C$29,0))</f>
        <v>0</v>
      </c>
      <c r="I162" s="1032">
        <f>IF(AND('Liquiditätsplan-1.Jahr'!$C$29=0,'Liquiditätsplan-2.Jahr'!$C$29&gt;0),'Liquiditätsplan-2.Jahr'!$C$29/12,IF('Liquiditätsplan-2.Jahr'!$C$29&gt;0,'Liquiditätsplan-1.Jahr'!K29/'Liquiditätsplan-1.Jahr'!$C$29*'Liquiditätsplan-2.Jahr'!$C$29,0))</f>
        <v>0</v>
      </c>
      <c r="J162" s="1032">
        <f>IF(AND('Liquiditätsplan-1.Jahr'!$C$29=0,'Liquiditätsplan-2.Jahr'!$C$29&gt;0),'Liquiditätsplan-2.Jahr'!$C$29/12,IF('Liquiditätsplan-2.Jahr'!$C$29&gt;0,'Liquiditätsplan-1.Jahr'!L29/'Liquiditätsplan-1.Jahr'!$C$29*'Liquiditätsplan-2.Jahr'!$C$29,0))</f>
        <v>0</v>
      </c>
      <c r="K162" s="1032">
        <f>IF(AND('Liquiditätsplan-1.Jahr'!$C$29=0,'Liquiditätsplan-2.Jahr'!$C$29&gt;0),'Liquiditätsplan-2.Jahr'!$C$29/12,IF('Liquiditätsplan-2.Jahr'!$C$29&gt;0,'Liquiditätsplan-1.Jahr'!M29/'Liquiditätsplan-1.Jahr'!$C$29*'Liquiditätsplan-2.Jahr'!$C$29,0))</f>
        <v>0</v>
      </c>
      <c r="L162" s="1032">
        <f>IF(AND('Liquiditätsplan-1.Jahr'!$C$29=0,'Liquiditätsplan-2.Jahr'!$C$29&gt;0),'Liquiditätsplan-2.Jahr'!$C$29/12,IF('Liquiditätsplan-2.Jahr'!$C$29&gt;0,'Liquiditätsplan-1.Jahr'!N29/'Liquiditätsplan-1.Jahr'!$C$29*'Liquiditätsplan-2.Jahr'!$C$29,0))</f>
        <v>0</v>
      </c>
      <c r="M162" s="1033">
        <f>IF(AND('Liquiditätsplan-1.Jahr'!$C$29=0,'Liquiditätsplan-2.Jahr'!$C$29&gt;0),'Liquiditätsplan-2.Jahr'!$C$29/12,IF('Liquiditätsplan-2.Jahr'!$C$29&gt;0,'Liquiditätsplan-1.Jahr'!O29/'Liquiditätsplan-1.Jahr'!$C$29*'Liquiditätsplan-2.Jahr'!$C$29,0))</f>
        <v>0</v>
      </c>
    </row>
    <row r="163" spans="1:16">
      <c r="A163" s="1031" t="s">
        <v>393</v>
      </c>
      <c r="B163" s="1032">
        <f>IF(AND('Liquiditätsplan-1.Jahr'!$C$30=0,'Liquiditätsplan-2.Jahr'!$C$30&gt;0),'Liquiditätsplan-2.Jahr'!$C$30/12,IF('Liquiditätsplan-2.Jahr'!$C$30&gt;0,'Liquiditätsplan-1.Jahr'!D30/'Liquiditätsplan-1.Jahr'!$C$30*'Liquiditätsplan-2.Jahr'!$C$30,0))</f>
        <v>0</v>
      </c>
      <c r="C163" s="1032">
        <f>IF(AND('Liquiditätsplan-1.Jahr'!$C$30=0,'Liquiditätsplan-2.Jahr'!$C$30&gt;0),'Liquiditätsplan-2.Jahr'!$C$30/12,IF('Liquiditätsplan-2.Jahr'!$C$30&gt;0,'Liquiditätsplan-1.Jahr'!E30/'Liquiditätsplan-1.Jahr'!$C$30*'Liquiditätsplan-2.Jahr'!$C$30,0))</f>
        <v>0</v>
      </c>
      <c r="D163" s="1032">
        <f>IF(AND('Liquiditätsplan-1.Jahr'!$C$30=0,'Liquiditätsplan-2.Jahr'!$C$30&gt;0),'Liquiditätsplan-2.Jahr'!$C$30/12,IF('Liquiditätsplan-2.Jahr'!$C$30&gt;0,'Liquiditätsplan-1.Jahr'!F30/'Liquiditätsplan-1.Jahr'!$C$30*'Liquiditätsplan-2.Jahr'!$C$30,0))</f>
        <v>0</v>
      </c>
      <c r="E163" s="1032">
        <f>IF(AND('Liquiditätsplan-1.Jahr'!$C$30=0,'Liquiditätsplan-2.Jahr'!$C$30&gt;0),'Liquiditätsplan-2.Jahr'!$C$30/12,IF('Liquiditätsplan-2.Jahr'!$C$30&gt;0,'Liquiditätsplan-1.Jahr'!G30/'Liquiditätsplan-1.Jahr'!$C$30*'Liquiditätsplan-2.Jahr'!$C$30,0))</f>
        <v>0</v>
      </c>
      <c r="F163" s="1032">
        <f>IF(AND('Liquiditätsplan-1.Jahr'!$C$30=0,'Liquiditätsplan-2.Jahr'!$C$30&gt;0),'Liquiditätsplan-2.Jahr'!$C$30/12,IF('Liquiditätsplan-2.Jahr'!$C$30&gt;0,'Liquiditätsplan-1.Jahr'!H30/'Liquiditätsplan-1.Jahr'!$C$30*'Liquiditätsplan-2.Jahr'!$C$30,0))</f>
        <v>0</v>
      </c>
      <c r="G163" s="1032">
        <f>IF(AND('Liquiditätsplan-1.Jahr'!$C$30=0,'Liquiditätsplan-2.Jahr'!$C$30&gt;0),'Liquiditätsplan-2.Jahr'!$C$30/12,IF('Liquiditätsplan-2.Jahr'!$C$30&gt;0,'Liquiditätsplan-1.Jahr'!I30/'Liquiditätsplan-1.Jahr'!$C$30*'Liquiditätsplan-2.Jahr'!$C$30,0))</f>
        <v>0</v>
      </c>
      <c r="H163" s="1032">
        <f>IF(AND('Liquiditätsplan-1.Jahr'!$C$30=0,'Liquiditätsplan-2.Jahr'!$C$30&gt;0),'Liquiditätsplan-2.Jahr'!$C$30/12,IF('Liquiditätsplan-2.Jahr'!$C$30&gt;0,'Liquiditätsplan-1.Jahr'!J30/'Liquiditätsplan-1.Jahr'!$C$30*'Liquiditätsplan-2.Jahr'!$C$30,0))</f>
        <v>0</v>
      </c>
      <c r="I163" s="1032">
        <f>IF(AND('Liquiditätsplan-1.Jahr'!$C$30=0,'Liquiditätsplan-2.Jahr'!$C$30&gt;0),'Liquiditätsplan-2.Jahr'!$C$30/12,IF('Liquiditätsplan-2.Jahr'!$C$30&gt;0,'Liquiditätsplan-1.Jahr'!K30/'Liquiditätsplan-1.Jahr'!$C$30*'Liquiditätsplan-2.Jahr'!$C$30,0))</f>
        <v>0</v>
      </c>
      <c r="J163" s="1032">
        <f>IF(AND('Liquiditätsplan-1.Jahr'!$C$30=0,'Liquiditätsplan-2.Jahr'!$C$30&gt;0),'Liquiditätsplan-2.Jahr'!$C$30/12,IF('Liquiditätsplan-2.Jahr'!$C$30&gt;0,'Liquiditätsplan-1.Jahr'!L30/'Liquiditätsplan-1.Jahr'!$C$30*'Liquiditätsplan-2.Jahr'!$C$30,0))</f>
        <v>0</v>
      </c>
      <c r="K163" s="1032">
        <f>IF(AND('Liquiditätsplan-1.Jahr'!$C$30=0,'Liquiditätsplan-2.Jahr'!$C$30&gt;0),'Liquiditätsplan-2.Jahr'!$C$30/12,IF('Liquiditätsplan-2.Jahr'!$C$30&gt;0,'Liquiditätsplan-1.Jahr'!M30/'Liquiditätsplan-1.Jahr'!$C$30*'Liquiditätsplan-2.Jahr'!$C$30,0))</f>
        <v>0</v>
      </c>
      <c r="L163" s="1032">
        <f>IF(AND('Liquiditätsplan-1.Jahr'!$C$30=0,'Liquiditätsplan-2.Jahr'!$C$30&gt;0),'Liquiditätsplan-2.Jahr'!$C$30/12,IF('Liquiditätsplan-2.Jahr'!$C$30&gt;0,'Liquiditätsplan-1.Jahr'!N30/'Liquiditätsplan-1.Jahr'!$C$30*'Liquiditätsplan-2.Jahr'!$C$30,0))</f>
        <v>0</v>
      </c>
      <c r="M163" s="1033">
        <f>IF(AND('Liquiditätsplan-1.Jahr'!$C$30=0,'Liquiditätsplan-2.Jahr'!$C$30&gt;0),'Liquiditätsplan-2.Jahr'!$C$30/12,IF('Liquiditätsplan-2.Jahr'!$C$30&gt;0,'Liquiditätsplan-1.Jahr'!O30/'Liquiditätsplan-1.Jahr'!$C$30*'Liquiditätsplan-2.Jahr'!$C$30,0))</f>
        <v>0</v>
      </c>
    </row>
    <row r="164" spans="1:16">
      <c r="A164" s="1031" t="s">
        <v>406</v>
      </c>
      <c r="B164" s="1032">
        <f>IF(AND('Liquiditätsplan-1.Jahr'!$C$31=0,'Liquiditätsplan-2.Jahr'!$C$31&gt;0),'Liquiditätsplan-2.Jahr'!$C$31/12,IF('Liquiditätsplan-2.Jahr'!$C$31&gt;0,'Liquiditätsplan-1.Jahr'!D31/'Liquiditätsplan-1.Jahr'!$C$31*'Liquiditätsplan-2.Jahr'!$C$31,0))</f>
        <v>0</v>
      </c>
      <c r="C164" s="1032">
        <f>IF(AND('Liquiditätsplan-1.Jahr'!$C$31=0,'Liquiditätsplan-2.Jahr'!$C$31&gt;0),'Liquiditätsplan-2.Jahr'!$C$31/12,IF('Liquiditätsplan-2.Jahr'!$C$31&gt;0,'Liquiditätsplan-1.Jahr'!E31/'Liquiditätsplan-1.Jahr'!$C$31*'Liquiditätsplan-2.Jahr'!$C$31,0))</f>
        <v>0</v>
      </c>
      <c r="D164" s="1032">
        <f>IF(AND('Liquiditätsplan-1.Jahr'!$C$31=0,'Liquiditätsplan-2.Jahr'!$C$31&gt;0),'Liquiditätsplan-2.Jahr'!$C$31/12,IF('Liquiditätsplan-2.Jahr'!$C$31&gt;0,'Liquiditätsplan-1.Jahr'!F31/'Liquiditätsplan-1.Jahr'!$C$31*'Liquiditätsplan-2.Jahr'!$C$31,0))</f>
        <v>0</v>
      </c>
      <c r="E164" s="1032">
        <f>IF(AND('Liquiditätsplan-1.Jahr'!$C$31=0,'Liquiditätsplan-2.Jahr'!$C$31&gt;0),'Liquiditätsplan-2.Jahr'!$C$31/12,IF('Liquiditätsplan-2.Jahr'!$C$31&gt;0,'Liquiditätsplan-1.Jahr'!G31/'Liquiditätsplan-1.Jahr'!$C$31*'Liquiditätsplan-2.Jahr'!$C$31,0))</f>
        <v>0</v>
      </c>
      <c r="F164" s="1032">
        <f>IF(AND('Liquiditätsplan-1.Jahr'!$C$31=0,'Liquiditätsplan-2.Jahr'!$C$31&gt;0),'Liquiditätsplan-2.Jahr'!$C$31/12,IF('Liquiditätsplan-2.Jahr'!$C$31&gt;0,'Liquiditätsplan-1.Jahr'!H31/'Liquiditätsplan-1.Jahr'!$C$31*'Liquiditätsplan-2.Jahr'!$C$31,0))</f>
        <v>0</v>
      </c>
      <c r="G164" s="1032">
        <f>IF(AND('Liquiditätsplan-1.Jahr'!$C$31=0,'Liquiditätsplan-2.Jahr'!$C$31&gt;0),'Liquiditätsplan-2.Jahr'!$C$31/12,IF('Liquiditätsplan-2.Jahr'!$C$31&gt;0,'Liquiditätsplan-1.Jahr'!I31/'Liquiditätsplan-1.Jahr'!$C$31*'Liquiditätsplan-2.Jahr'!$C$31,0))</f>
        <v>0</v>
      </c>
      <c r="H164" s="1032">
        <f>IF(AND('Liquiditätsplan-1.Jahr'!$C$31=0,'Liquiditätsplan-2.Jahr'!$C$31&gt;0),'Liquiditätsplan-2.Jahr'!$C$31/12,IF('Liquiditätsplan-2.Jahr'!$C$31&gt;0,'Liquiditätsplan-1.Jahr'!J31/'Liquiditätsplan-1.Jahr'!$C$31*'Liquiditätsplan-2.Jahr'!$C$31,0))</f>
        <v>0</v>
      </c>
      <c r="I164" s="1032">
        <f>IF(AND('Liquiditätsplan-1.Jahr'!$C$31=0,'Liquiditätsplan-2.Jahr'!$C$31&gt;0),'Liquiditätsplan-2.Jahr'!$C$31/12,IF('Liquiditätsplan-2.Jahr'!$C$31&gt;0,'Liquiditätsplan-1.Jahr'!K31/'Liquiditätsplan-1.Jahr'!$C$31*'Liquiditätsplan-2.Jahr'!$C$31,0))</f>
        <v>0</v>
      </c>
      <c r="J164" s="1032">
        <f>IF(AND('Liquiditätsplan-1.Jahr'!$C$31=0,'Liquiditätsplan-2.Jahr'!$C$31&gt;0),'Liquiditätsplan-2.Jahr'!$C$31/12,IF('Liquiditätsplan-2.Jahr'!$C$31&gt;0,'Liquiditätsplan-1.Jahr'!L31/'Liquiditätsplan-1.Jahr'!$C$31*'Liquiditätsplan-2.Jahr'!$C$31,0))</f>
        <v>0</v>
      </c>
      <c r="K164" s="1032">
        <f>IF(AND('Liquiditätsplan-1.Jahr'!$C$31=0,'Liquiditätsplan-2.Jahr'!$C$31&gt;0),'Liquiditätsplan-2.Jahr'!$C$31/12,IF('Liquiditätsplan-2.Jahr'!$C$31&gt;0,'Liquiditätsplan-1.Jahr'!M31/'Liquiditätsplan-1.Jahr'!$C$31*'Liquiditätsplan-2.Jahr'!$C$31,0))</f>
        <v>0</v>
      </c>
      <c r="L164" s="1032">
        <f>IF(AND('Liquiditätsplan-1.Jahr'!$C$31=0,'Liquiditätsplan-2.Jahr'!$C$31&gt;0),'Liquiditätsplan-2.Jahr'!$C$31/12,IF('Liquiditätsplan-2.Jahr'!$C$31&gt;0,'Liquiditätsplan-1.Jahr'!N31/'Liquiditätsplan-1.Jahr'!$C$31*'Liquiditätsplan-2.Jahr'!$C$31,0))</f>
        <v>0</v>
      </c>
      <c r="M164" s="1033">
        <f>IF(AND('Liquiditätsplan-1.Jahr'!$C$31=0,'Liquiditätsplan-2.Jahr'!$C$31&gt;0),'Liquiditätsplan-2.Jahr'!$C$31/12,IF('Liquiditätsplan-2.Jahr'!$C$31&gt;0,'Liquiditätsplan-1.Jahr'!O31/'Liquiditätsplan-1.Jahr'!$C$31*'Liquiditätsplan-2.Jahr'!$C$31,0))</f>
        <v>0</v>
      </c>
    </row>
    <row r="165" spans="1:16">
      <c r="A165" s="1031" t="s">
        <v>400</v>
      </c>
      <c r="B165" s="1032">
        <f>IF(AND('Liquiditätsplan-1.Jahr'!$C$32=0,'Liquiditätsplan-2.Jahr'!$C$32&gt;0),'Liquiditätsplan-2.Jahr'!$C$32/12,IF('Liquiditätsplan-2.Jahr'!$C$32&gt;0,'Liquiditätsplan-1.Jahr'!D32/'Liquiditätsplan-1.Jahr'!$C$32*'Liquiditätsplan-2.Jahr'!$C$32,0))</f>
        <v>0</v>
      </c>
      <c r="C165" s="1032">
        <f>IF(AND('Liquiditätsplan-1.Jahr'!$C$32=0,'Liquiditätsplan-2.Jahr'!$C$32&gt;0),'Liquiditätsplan-2.Jahr'!$C$32/12,IF('Liquiditätsplan-2.Jahr'!$C$32&gt;0,'Liquiditätsplan-1.Jahr'!E32/'Liquiditätsplan-1.Jahr'!$C$32*'Liquiditätsplan-2.Jahr'!$C$32,0))</f>
        <v>0</v>
      </c>
      <c r="D165" s="1032">
        <f>IF(AND('Liquiditätsplan-1.Jahr'!$C$32=0,'Liquiditätsplan-2.Jahr'!$C$32&gt;0),'Liquiditätsplan-2.Jahr'!$C$32/12,IF('Liquiditätsplan-2.Jahr'!$C$32&gt;0,'Liquiditätsplan-1.Jahr'!F32/'Liquiditätsplan-1.Jahr'!$C$32*'Liquiditätsplan-2.Jahr'!$C$32,0))</f>
        <v>0</v>
      </c>
      <c r="E165" s="1032">
        <f>IF(AND('Liquiditätsplan-1.Jahr'!$C$32=0,'Liquiditätsplan-2.Jahr'!$C$32&gt;0),'Liquiditätsplan-2.Jahr'!$C$32/12,IF('Liquiditätsplan-2.Jahr'!$C$32&gt;0,'Liquiditätsplan-1.Jahr'!G32/'Liquiditätsplan-1.Jahr'!$C$32*'Liquiditätsplan-2.Jahr'!$C$32,0))</f>
        <v>0</v>
      </c>
      <c r="F165" s="1032">
        <f>IF(AND('Liquiditätsplan-1.Jahr'!$C$32=0,'Liquiditätsplan-2.Jahr'!$C$32&gt;0),'Liquiditätsplan-2.Jahr'!$C$32/12,IF('Liquiditätsplan-2.Jahr'!$C$32&gt;0,'Liquiditätsplan-1.Jahr'!H32/'Liquiditätsplan-1.Jahr'!$C$32*'Liquiditätsplan-2.Jahr'!$C$32,0))</f>
        <v>0</v>
      </c>
      <c r="G165" s="1032">
        <f>IF(AND('Liquiditätsplan-1.Jahr'!$C$32=0,'Liquiditätsplan-2.Jahr'!$C$32&gt;0),'Liquiditätsplan-2.Jahr'!$C$32/12,IF('Liquiditätsplan-2.Jahr'!$C$32&gt;0,'Liquiditätsplan-1.Jahr'!I32/'Liquiditätsplan-1.Jahr'!$C$32*'Liquiditätsplan-2.Jahr'!$C$32,0))</f>
        <v>0</v>
      </c>
      <c r="H165" s="1032">
        <f>IF(AND('Liquiditätsplan-1.Jahr'!$C$32=0,'Liquiditätsplan-2.Jahr'!$C$32&gt;0),'Liquiditätsplan-2.Jahr'!$C$32/12,IF('Liquiditätsplan-2.Jahr'!$C$32&gt;0,'Liquiditätsplan-1.Jahr'!J32/'Liquiditätsplan-1.Jahr'!$C$32*'Liquiditätsplan-2.Jahr'!$C$32,0))</f>
        <v>0</v>
      </c>
      <c r="I165" s="1032">
        <f>IF(AND('Liquiditätsplan-1.Jahr'!$C$32=0,'Liquiditätsplan-2.Jahr'!$C$32&gt;0),'Liquiditätsplan-2.Jahr'!$C$32/12,IF('Liquiditätsplan-2.Jahr'!$C$32&gt;0,'Liquiditätsplan-1.Jahr'!K32/'Liquiditätsplan-1.Jahr'!$C$32*'Liquiditätsplan-2.Jahr'!$C$32,0))</f>
        <v>0</v>
      </c>
      <c r="J165" s="1032">
        <f>IF(AND('Liquiditätsplan-1.Jahr'!$C$32=0,'Liquiditätsplan-2.Jahr'!$C$32&gt;0),'Liquiditätsplan-2.Jahr'!$C$32/12,IF('Liquiditätsplan-2.Jahr'!$C$32&gt;0,'Liquiditätsplan-1.Jahr'!L32/'Liquiditätsplan-1.Jahr'!$C$32*'Liquiditätsplan-2.Jahr'!$C$32,0))</f>
        <v>0</v>
      </c>
      <c r="K165" s="1032">
        <f>IF(AND('Liquiditätsplan-1.Jahr'!$C$32=0,'Liquiditätsplan-2.Jahr'!$C$32&gt;0),'Liquiditätsplan-2.Jahr'!$C$32/12,IF('Liquiditätsplan-2.Jahr'!$C$32&gt;0,'Liquiditätsplan-1.Jahr'!M32/'Liquiditätsplan-1.Jahr'!$C$32*'Liquiditätsplan-2.Jahr'!$C$32,0))</f>
        <v>0</v>
      </c>
      <c r="L165" s="1032">
        <f>IF(AND('Liquiditätsplan-1.Jahr'!$C$32=0,'Liquiditätsplan-2.Jahr'!$C$32&gt;0),'Liquiditätsplan-2.Jahr'!$C$32/12,IF('Liquiditätsplan-2.Jahr'!$C$32&gt;0,'Liquiditätsplan-1.Jahr'!N32/'Liquiditätsplan-1.Jahr'!$C$32*'Liquiditätsplan-2.Jahr'!$C$32,0))</f>
        <v>0</v>
      </c>
      <c r="M165" s="1033">
        <f>IF(AND('Liquiditätsplan-1.Jahr'!$C$32=0,'Liquiditätsplan-2.Jahr'!$C$32&gt;0),'Liquiditätsplan-2.Jahr'!$C$32/12,IF('Liquiditätsplan-2.Jahr'!$C$32&gt;0,'Liquiditätsplan-1.Jahr'!O32/'Liquiditätsplan-1.Jahr'!$C$32*'Liquiditätsplan-2.Jahr'!$C$32,0))</f>
        <v>0</v>
      </c>
    </row>
    <row r="166" spans="1:16">
      <c r="A166" s="1031" t="s">
        <v>401</v>
      </c>
      <c r="B166" s="1032">
        <f>IF(AND('Liquiditätsplan-1.Jahr'!$C$33=0,'Liquiditätsplan-2.Jahr'!$C$33&gt;0),'Liquiditätsplan-2.Jahr'!$C$33/12,IF('Liquiditätsplan-2.Jahr'!$C$33&gt;0,'Liquiditätsplan-1.Jahr'!D33/'Liquiditätsplan-1.Jahr'!$C$33*'Liquiditätsplan-2.Jahr'!$C$33,0))</f>
        <v>0</v>
      </c>
      <c r="C166" s="1032">
        <f>IF(AND('Liquiditätsplan-1.Jahr'!$C$33=0,'Liquiditätsplan-2.Jahr'!$C$33&gt;0),'Liquiditätsplan-2.Jahr'!$C$33/12,IF('Liquiditätsplan-2.Jahr'!$C$33&gt;0,'Liquiditätsplan-1.Jahr'!E33/'Liquiditätsplan-1.Jahr'!$C$33*'Liquiditätsplan-2.Jahr'!$C$33,0))</f>
        <v>0</v>
      </c>
      <c r="D166" s="1032">
        <f>IF(AND('Liquiditätsplan-1.Jahr'!$C$33=0,'Liquiditätsplan-2.Jahr'!$C$33&gt;0),'Liquiditätsplan-2.Jahr'!$C$33/12,IF('Liquiditätsplan-2.Jahr'!$C$33&gt;0,'Liquiditätsplan-1.Jahr'!F33/'Liquiditätsplan-1.Jahr'!$C$33*'Liquiditätsplan-2.Jahr'!$C$33,0))</f>
        <v>0</v>
      </c>
      <c r="E166" s="1032">
        <f>IF(AND('Liquiditätsplan-1.Jahr'!$C$33=0,'Liquiditätsplan-2.Jahr'!$C$33&gt;0),'Liquiditätsplan-2.Jahr'!$C$33/12,IF('Liquiditätsplan-2.Jahr'!$C$33&gt;0,'Liquiditätsplan-1.Jahr'!G33/'Liquiditätsplan-1.Jahr'!$C$33*'Liquiditätsplan-2.Jahr'!$C$33,0))</f>
        <v>0</v>
      </c>
      <c r="F166" s="1032">
        <f>IF(AND('Liquiditätsplan-1.Jahr'!$C$33=0,'Liquiditätsplan-2.Jahr'!$C$33&gt;0),'Liquiditätsplan-2.Jahr'!$C$33/12,IF('Liquiditätsplan-2.Jahr'!$C$33&gt;0,'Liquiditätsplan-1.Jahr'!H33/'Liquiditätsplan-1.Jahr'!$C$33*'Liquiditätsplan-2.Jahr'!$C$33,0))</f>
        <v>0</v>
      </c>
      <c r="G166" s="1032">
        <f>IF(AND('Liquiditätsplan-1.Jahr'!$C$33=0,'Liquiditätsplan-2.Jahr'!$C$33&gt;0),'Liquiditätsplan-2.Jahr'!$C$33/12,IF('Liquiditätsplan-2.Jahr'!$C$33&gt;0,'Liquiditätsplan-1.Jahr'!I33/'Liquiditätsplan-1.Jahr'!$C$33*'Liquiditätsplan-2.Jahr'!$C$33,0))</f>
        <v>0</v>
      </c>
      <c r="H166" s="1032">
        <f>IF(AND('Liquiditätsplan-1.Jahr'!$C$33=0,'Liquiditätsplan-2.Jahr'!$C$33&gt;0),'Liquiditätsplan-2.Jahr'!$C$33/12,IF('Liquiditätsplan-2.Jahr'!$C$33&gt;0,'Liquiditätsplan-1.Jahr'!J33/'Liquiditätsplan-1.Jahr'!$C$33*'Liquiditätsplan-2.Jahr'!$C$33,0))</f>
        <v>0</v>
      </c>
      <c r="I166" s="1032">
        <f>IF(AND('Liquiditätsplan-1.Jahr'!$C$33=0,'Liquiditätsplan-2.Jahr'!$C$33&gt;0),'Liquiditätsplan-2.Jahr'!$C$33/12,IF('Liquiditätsplan-2.Jahr'!$C$33&gt;0,'Liquiditätsplan-1.Jahr'!K33/'Liquiditätsplan-1.Jahr'!$C$33*'Liquiditätsplan-2.Jahr'!$C$33,0))</f>
        <v>0</v>
      </c>
      <c r="J166" s="1032">
        <f>IF(AND('Liquiditätsplan-1.Jahr'!$C$33=0,'Liquiditätsplan-2.Jahr'!$C$33&gt;0),'Liquiditätsplan-2.Jahr'!$C$33/12,IF('Liquiditätsplan-2.Jahr'!$C$33&gt;0,'Liquiditätsplan-1.Jahr'!L33/'Liquiditätsplan-1.Jahr'!$C$33*'Liquiditätsplan-2.Jahr'!$C$33,0))</f>
        <v>0</v>
      </c>
      <c r="K166" s="1032">
        <f>IF(AND('Liquiditätsplan-1.Jahr'!$C$33=0,'Liquiditätsplan-2.Jahr'!$C$33&gt;0),'Liquiditätsplan-2.Jahr'!$C$33/12,IF('Liquiditätsplan-2.Jahr'!$C$33&gt;0,'Liquiditätsplan-1.Jahr'!M33/'Liquiditätsplan-1.Jahr'!$C$33*'Liquiditätsplan-2.Jahr'!$C$33,0))</f>
        <v>0</v>
      </c>
      <c r="L166" s="1032">
        <f>IF(AND('Liquiditätsplan-1.Jahr'!$C$33=0,'Liquiditätsplan-2.Jahr'!$C$33&gt;0),'Liquiditätsplan-2.Jahr'!$C$33/12,IF('Liquiditätsplan-2.Jahr'!$C$33&gt;0,'Liquiditätsplan-1.Jahr'!N33/'Liquiditätsplan-1.Jahr'!$C$33*'Liquiditätsplan-2.Jahr'!$C$33,0))</f>
        <v>0</v>
      </c>
      <c r="M166" s="1033">
        <f>IF(AND('Liquiditätsplan-1.Jahr'!$C$33=0,'Liquiditätsplan-2.Jahr'!$C$33&gt;0),'Liquiditätsplan-2.Jahr'!$C$33/12,IF('Liquiditätsplan-2.Jahr'!$C$33&gt;0,'Liquiditätsplan-1.Jahr'!O33/'Liquiditätsplan-1.Jahr'!$C$33*'Liquiditätsplan-2.Jahr'!$C$33,0))</f>
        <v>0</v>
      </c>
    </row>
    <row r="167" spans="1:16">
      <c r="A167" s="1031" t="s">
        <v>395</v>
      </c>
      <c r="B167" s="1032">
        <f>IF(AND('Liquiditätsplan-1.Jahr'!$C$34=0,'Liquiditätsplan-2.Jahr'!$C$34&gt;0),'Liquiditätsplan-2.Jahr'!$C$34/12,IF('Liquiditätsplan-2.Jahr'!$C$34&gt;0,'Liquiditätsplan-1.Jahr'!D34/'Liquiditätsplan-1.Jahr'!$C$34*'Liquiditätsplan-2.Jahr'!$C$34,0))</f>
        <v>0</v>
      </c>
      <c r="C167" s="1032">
        <f>IF(AND('Liquiditätsplan-1.Jahr'!$C$34=0,'Liquiditätsplan-2.Jahr'!$C$34&gt;0),'Liquiditätsplan-2.Jahr'!$C$34/12,IF('Liquiditätsplan-2.Jahr'!$C$34&gt;0,'Liquiditätsplan-1.Jahr'!E34/'Liquiditätsplan-1.Jahr'!$C$34*'Liquiditätsplan-2.Jahr'!$C$34,0))</f>
        <v>0</v>
      </c>
      <c r="D167" s="1032">
        <f>IF(AND('Liquiditätsplan-1.Jahr'!$C$34=0,'Liquiditätsplan-2.Jahr'!$C$34&gt;0),'Liquiditätsplan-2.Jahr'!$C$34/12,IF('Liquiditätsplan-2.Jahr'!$C$34&gt;0,'Liquiditätsplan-1.Jahr'!F34/'Liquiditätsplan-1.Jahr'!$C$34*'Liquiditätsplan-2.Jahr'!$C$34,0))</f>
        <v>0</v>
      </c>
      <c r="E167" s="1032">
        <f>IF(AND('Liquiditätsplan-1.Jahr'!$C$34=0,'Liquiditätsplan-2.Jahr'!$C$34&gt;0),'Liquiditätsplan-2.Jahr'!$C$34/12,IF('Liquiditätsplan-2.Jahr'!$C$34&gt;0,'Liquiditätsplan-1.Jahr'!G34/'Liquiditätsplan-1.Jahr'!$C$34*'Liquiditätsplan-2.Jahr'!$C$34,0))</f>
        <v>0</v>
      </c>
      <c r="F167" s="1032">
        <f>IF(AND('Liquiditätsplan-1.Jahr'!$C$34=0,'Liquiditätsplan-2.Jahr'!$C$34&gt;0),'Liquiditätsplan-2.Jahr'!$C$34/12,IF('Liquiditätsplan-2.Jahr'!$C$34&gt;0,'Liquiditätsplan-1.Jahr'!H34/'Liquiditätsplan-1.Jahr'!$C$34*'Liquiditätsplan-2.Jahr'!$C$34,0))</f>
        <v>0</v>
      </c>
      <c r="G167" s="1032">
        <f>IF(AND('Liquiditätsplan-1.Jahr'!$C$34=0,'Liquiditätsplan-2.Jahr'!$C$34&gt;0),'Liquiditätsplan-2.Jahr'!$C$34/12,IF('Liquiditätsplan-2.Jahr'!$C$34&gt;0,'Liquiditätsplan-1.Jahr'!I34/'Liquiditätsplan-1.Jahr'!$C$34*'Liquiditätsplan-2.Jahr'!$C$34,0))</f>
        <v>0</v>
      </c>
      <c r="H167" s="1032">
        <f>IF(AND('Liquiditätsplan-1.Jahr'!$C$34=0,'Liquiditätsplan-2.Jahr'!$C$34&gt;0),'Liquiditätsplan-2.Jahr'!$C$34/12,IF('Liquiditätsplan-2.Jahr'!$C$34&gt;0,'Liquiditätsplan-1.Jahr'!J34/'Liquiditätsplan-1.Jahr'!$C$34*'Liquiditätsplan-2.Jahr'!$C$34,0))</f>
        <v>0</v>
      </c>
      <c r="I167" s="1032">
        <f>IF(AND('Liquiditätsplan-1.Jahr'!$C$34=0,'Liquiditätsplan-2.Jahr'!$C$34&gt;0),'Liquiditätsplan-2.Jahr'!$C$34/12,IF('Liquiditätsplan-2.Jahr'!$C$34&gt;0,'Liquiditätsplan-1.Jahr'!K34/'Liquiditätsplan-1.Jahr'!$C$34*'Liquiditätsplan-2.Jahr'!$C$34,0))</f>
        <v>0</v>
      </c>
      <c r="J167" s="1032">
        <f>IF(AND('Liquiditätsplan-1.Jahr'!$C$34=0,'Liquiditätsplan-2.Jahr'!$C$34&gt;0),'Liquiditätsplan-2.Jahr'!$C$34/12,IF('Liquiditätsplan-2.Jahr'!$C$34&gt;0,'Liquiditätsplan-1.Jahr'!L34/'Liquiditätsplan-1.Jahr'!$C$34*'Liquiditätsplan-2.Jahr'!$C$34,0))</f>
        <v>0</v>
      </c>
      <c r="K167" s="1032">
        <f>IF(AND('Liquiditätsplan-1.Jahr'!$C$34=0,'Liquiditätsplan-2.Jahr'!$C$34&gt;0),'Liquiditätsplan-2.Jahr'!$C$34/12,IF('Liquiditätsplan-2.Jahr'!$C$34&gt;0,'Liquiditätsplan-1.Jahr'!M34/'Liquiditätsplan-1.Jahr'!$C$34*'Liquiditätsplan-2.Jahr'!$C$34,0))</f>
        <v>0</v>
      </c>
      <c r="L167" s="1032">
        <f>IF(AND('Liquiditätsplan-1.Jahr'!$C$34=0,'Liquiditätsplan-2.Jahr'!$C$34&gt;0),'Liquiditätsplan-2.Jahr'!$C$34/12,IF('Liquiditätsplan-2.Jahr'!$C$34&gt;0,'Liquiditätsplan-1.Jahr'!N34/'Liquiditätsplan-1.Jahr'!$C$34*'Liquiditätsplan-2.Jahr'!$C$34,0))</f>
        <v>0</v>
      </c>
      <c r="M167" s="1033">
        <f>IF(AND('Liquiditätsplan-1.Jahr'!$C$34=0,'Liquiditätsplan-2.Jahr'!$C$34&gt;0),'Liquiditätsplan-2.Jahr'!$C$34/12,IF('Liquiditätsplan-2.Jahr'!$C$34&gt;0,'Liquiditätsplan-1.Jahr'!O34/'Liquiditätsplan-1.Jahr'!$C$34*'Liquiditätsplan-2.Jahr'!$C$34,0))</f>
        <v>0</v>
      </c>
    </row>
    <row r="168" spans="1:16">
      <c r="A168" s="1031" t="s">
        <v>394</v>
      </c>
      <c r="B168" s="1032">
        <f>IF(AND('Liquiditätsplan-1.Jahr'!$C$35=0,'Liquiditätsplan-2.Jahr'!$C$35&gt;0),'Liquiditätsplan-2.Jahr'!$C$35/12,IF('Liquiditätsplan-2.Jahr'!$C$35&gt;0,'Liquiditätsplan-1.Jahr'!D35/'Liquiditätsplan-1.Jahr'!$C$35*'Liquiditätsplan-2.Jahr'!$C$35,0))</f>
        <v>0</v>
      </c>
      <c r="C168" s="1032">
        <f>IF(AND('Liquiditätsplan-1.Jahr'!$C$35=0,'Liquiditätsplan-2.Jahr'!$C$35&gt;0),'Liquiditätsplan-2.Jahr'!$C$35/12,IF('Liquiditätsplan-2.Jahr'!$C$35&gt;0,'Liquiditätsplan-1.Jahr'!E35/'Liquiditätsplan-1.Jahr'!$C$35*'Liquiditätsplan-2.Jahr'!$C$35,0))</f>
        <v>0</v>
      </c>
      <c r="D168" s="1032">
        <f>IF(AND('Liquiditätsplan-1.Jahr'!$C$35=0,'Liquiditätsplan-2.Jahr'!$C$35&gt;0),'Liquiditätsplan-2.Jahr'!$C$35/12,IF('Liquiditätsplan-2.Jahr'!$C$35&gt;0,'Liquiditätsplan-1.Jahr'!F35/'Liquiditätsplan-1.Jahr'!$C$35*'Liquiditätsplan-2.Jahr'!$C$35,0))</f>
        <v>0</v>
      </c>
      <c r="E168" s="1032">
        <f>IF(AND('Liquiditätsplan-1.Jahr'!$C$35=0,'Liquiditätsplan-2.Jahr'!$C$35&gt;0),'Liquiditätsplan-2.Jahr'!$C$35/12,IF('Liquiditätsplan-2.Jahr'!$C$35&gt;0,'Liquiditätsplan-1.Jahr'!G35/'Liquiditätsplan-1.Jahr'!$C$35*'Liquiditätsplan-2.Jahr'!$C$35,0))</f>
        <v>0</v>
      </c>
      <c r="F168" s="1032">
        <f>IF(AND('Liquiditätsplan-1.Jahr'!$C$35=0,'Liquiditätsplan-2.Jahr'!$C$35&gt;0),'Liquiditätsplan-2.Jahr'!$C$35/12,IF('Liquiditätsplan-2.Jahr'!$C$35&gt;0,'Liquiditätsplan-1.Jahr'!H35/'Liquiditätsplan-1.Jahr'!$C$35*'Liquiditätsplan-2.Jahr'!$C$35,0))</f>
        <v>0</v>
      </c>
      <c r="G168" s="1032">
        <f>IF(AND('Liquiditätsplan-1.Jahr'!$C$35=0,'Liquiditätsplan-2.Jahr'!$C$35&gt;0),'Liquiditätsplan-2.Jahr'!$C$35/12,IF('Liquiditätsplan-2.Jahr'!$C$35&gt;0,'Liquiditätsplan-1.Jahr'!I35/'Liquiditätsplan-1.Jahr'!$C$35*'Liquiditätsplan-2.Jahr'!$C$35,0))</f>
        <v>0</v>
      </c>
      <c r="H168" s="1032">
        <f>IF(AND('Liquiditätsplan-1.Jahr'!$C$35=0,'Liquiditätsplan-2.Jahr'!$C$35&gt;0),'Liquiditätsplan-2.Jahr'!$C$35/12,IF('Liquiditätsplan-2.Jahr'!$C$35&gt;0,'Liquiditätsplan-1.Jahr'!J35/'Liquiditätsplan-1.Jahr'!$C$35*'Liquiditätsplan-2.Jahr'!$C$35,0))</f>
        <v>0</v>
      </c>
      <c r="I168" s="1032">
        <f>IF(AND('Liquiditätsplan-1.Jahr'!$C$35=0,'Liquiditätsplan-2.Jahr'!$C$35&gt;0),'Liquiditätsplan-2.Jahr'!$C$35/12,IF('Liquiditätsplan-2.Jahr'!$C$35&gt;0,'Liquiditätsplan-1.Jahr'!K35/'Liquiditätsplan-1.Jahr'!$C$35*'Liquiditätsplan-2.Jahr'!$C$35,0))</f>
        <v>0</v>
      </c>
      <c r="J168" s="1032">
        <f>IF(AND('Liquiditätsplan-1.Jahr'!$C$35=0,'Liquiditätsplan-2.Jahr'!$C$35&gt;0),'Liquiditätsplan-2.Jahr'!$C$35/12,IF('Liquiditätsplan-2.Jahr'!$C$35&gt;0,'Liquiditätsplan-1.Jahr'!L35/'Liquiditätsplan-1.Jahr'!$C$35*'Liquiditätsplan-2.Jahr'!$C$35,0))</f>
        <v>0</v>
      </c>
      <c r="K168" s="1032">
        <f>IF(AND('Liquiditätsplan-1.Jahr'!$C$35=0,'Liquiditätsplan-2.Jahr'!$C$35&gt;0),'Liquiditätsplan-2.Jahr'!$C$35/12,IF('Liquiditätsplan-2.Jahr'!$C$35&gt;0,'Liquiditätsplan-1.Jahr'!M35/'Liquiditätsplan-1.Jahr'!$C$35*'Liquiditätsplan-2.Jahr'!$C$35,0))</f>
        <v>0</v>
      </c>
      <c r="L168" s="1032">
        <f>IF(AND('Liquiditätsplan-1.Jahr'!$C$35=0,'Liquiditätsplan-2.Jahr'!$C$35&gt;0),'Liquiditätsplan-2.Jahr'!$C$35/12,IF('Liquiditätsplan-2.Jahr'!$C$35&gt;0,'Liquiditätsplan-1.Jahr'!N35/'Liquiditätsplan-1.Jahr'!$C$35*'Liquiditätsplan-2.Jahr'!$C$35,0))</f>
        <v>0</v>
      </c>
      <c r="M168" s="1033">
        <f>IF(AND('Liquiditätsplan-1.Jahr'!$C$35=0,'Liquiditätsplan-2.Jahr'!$C$35&gt;0),'Liquiditätsplan-2.Jahr'!$C$35/12,IF('Liquiditätsplan-2.Jahr'!$C$35&gt;0,'Liquiditätsplan-1.Jahr'!O35/'Liquiditätsplan-1.Jahr'!$C$35*'Liquiditätsplan-2.Jahr'!$C$35,0))</f>
        <v>0</v>
      </c>
    </row>
    <row r="169" spans="1:16">
      <c r="A169" s="1031" t="s">
        <v>396</v>
      </c>
      <c r="B169" s="1032">
        <f>IF(AND('Liquiditätsplan-1.Jahr'!$C$36=0,'Liquiditätsplan-2.Jahr'!$C$36&gt;0),'Liquiditätsplan-2.Jahr'!$C$36/12,IF('Liquiditätsplan-2.Jahr'!$C$36&gt;0,'Liquiditätsplan-1.Jahr'!D36/'Liquiditätsplan-1.Jahr'!$C$36*'Liquiditätsplan-2.Jahr'!$C$36,0))</f>
        <v>0</v>
      </c>
      <c r="C169" s="1032">
        <f>IF(AND('Liquiditätsplan-1.Jahr'!$C$36=0,'Liquiditätsplan-2.Jahr'!$C$36&gt;0),'Liquiditätsplan-2.Jahr'!$C$36/12,IF('Liquiditätsplan-2.Jahr'!$C$36&gt;0,'Liquiditätsplan-1.Jahr'!E36/'Liquiditätsplan-1.Jahr'!$C$36*'Liquiditätsplan-2.Jahr'!$C$36,0))</f>
        <v>0</v>
      </c>
      <c r="D169" s="1032">
        <f>IF(AND('Liquiditätsplan-1.Jahr'!$C$36=0,'Liquiditätsplan-2.Jahr'!$C$36&gt;0),'Liquiditätsplan-2.Jahr'!$C$36/12,IF('Liquiditätsplan-2.Jahr'!$C$36&gt;0,'Liquiditätsplan-1.Jahr'!F36/'Liquiditätsplan-1.Jahr'!$C$36*'Liquiditätsplan-2.Jahr'!$C$36,0))</f>
        <v>0</v>
      </c>
      <c r="E169" s="1032">
        <f>IF(AND('Liquiditätsplan-1.Jahr'!$C$36=0,'Liquiditätsplan-2.Jahr'!$C$36&gt;0),'Liquiditätsplan-2.Jahr'!$C$36/12,IF('Liquiditätsplan-2.Jahr'!$C$36&gt;0,'Liquiditätsplan-1.Jahr'!G36/'Liquiditätsplan-1.Jahr'!$C$36*'Liquiditätsplan-2.Jahr'!$C$36,0))</f>
        <v>0</v>
      </c>
      <c r="F169" s="1032">
        <f>IF(AND('Liquiditätsplan-1.Jahr'!$C$36=0,'Liquiditätsplan-2.Jahr'!$C$36&gt;0),'Liquiditätsplan-2.Jahr'!$C$36/12,IF('Liquiditätsplan-2.Jahr'!$C$36&gt;0,'Liquiditätsplan-1.Jahr'!H36/'Liquiditätsplan-1.Jahr'!$C$36*'Liquiditätsplan-2.Jahr'!$C$36,0))</f>
        <v>0</v>
      </c>
      <c r="G169" s="1032">
        <f>IF(AND('Liquiditätsplan-1.Jahr'!$C$36=0,'Liquiditätsplan-2.Jahr'!$C$36&gt;0),'Liquiditätsplan-2.Jahr'!$C$36/12,IF('Liquiditätsplan-2.Jahr'!$C$36&gt;0,'Liquiditätsplan-1.Jahr'!I36/'Liquiditätsplan-1.Jahr'!$C$36*'Liquiditätsplan-2.Jahr'!$C$36,0))</f>
        <v>0</v>
      </c>
      <c r="H169" s="1032">
        <f>IF(AND('Liquiditätsplan-1.Jahr'!$C$36=0,'Liquiditätsplan-2.Jahr'!$C$36&gt;0),'Liquiditätsplan-2.Jahr'!$C$36/12,IF('Liquiditätsplan-2.Jahr'!$C$36&gt;0,'Liquiditätsplan-1.Jahr'!J36/'Liquiditätsplan-1.Jahr'!$C$36*'Liquiditätsplan-2.Jahr'!$C$36,0))</f>
        <v>0</v>
      </c>
      <c r="I169" s="1032">
        <f>IF(AND('Liquiditätsplan-1.Jahr'!$C$36=0,'Liquiditätsplan-2.Jahr'!$C$36&gt;0),'Liquiditätsplan-2.Jahr'!$C$36/12,IF('Liquiditätsplan-2.Jahr'!$C$36&gt;0,'Liquiditätsplan-1.Jahr'!K36/'Liquiditätsplan-1.Jahr'!$C$36*'Liquiditätsplan-2.Jahr'!$C$36,0))</f>
        <v>0</v>
      </c>
      <c r="J169" s="1032">
        <f>IF(AND('Liquiditätsplan-1.Jahr'!$C$36=0,'Liquiditätsplan-2.Jahr'!$C$36&gt;0),'Liquiditätsplan-2.Jahr'!$C$36/12,IF('Liquiditätsplan-2.Jahr'!$C$36&gt;0,'Liquiditätsplan-1.Jahr'!L36/'Liquiditätsplan-1.Jahr'!$C$36*'Liquiditätsplan-2.Jahr'!$C$36,0))</f>
        <v>0</v>
      </c>
      <c r="K169" s="1032">
        <f>IF(AND('Liquiditätsplan-1.Jahr'!$C$36=0,'Liquiditätsplan-2.Jahr'!$C$36&gt;0),'Liquiditätsplan-2.Jahr'!$C$36/12,IF('Liquiditätsplan-2.Jahr'!$C$36&gt;0,'Liquiditätsplan-1.Jahr'!M36/'Liquiditätsplan-1.Jahr'!$C$36*'Liquiditätsplan-2.Jahr'!$C$36,0))</f>
        <v>0</v>
      </c>
      <c r="L169" s="1032">
        <f>IF(AND('Liquiditätsplan-1.Jahr'!$C$36=0,'Liquiditätsplan-2.Jahr'!$C$36&gt;0),'Liquiditätsplan-2.Jahr'!$C$36/12,IF('Liquiditätsplan-2.Jahr'!$C$36&gt;0,'Liquiditätsplan-1.Jahr'!N36/'Liquiditätsplan-1.Jahr'!$C$36*'Liquiditätsplan-2.Jahr'!$C$36,0))</f>
        <v>0</v>
      </c>
      <c r="M169" s="1033">
        <f>IF(AND('Liquiditätsplan-1.Jahr'!$C$36=0,'Liquiditätsplan-2.Jahr'!$C$36&gt;0),'Liquiditätsplan-2.Jahr'!$C$36/12,IF('Liquiditätsplan-2.Jahr'!$C$36&gt;0,'Liquiditätsplan-1.Jahr'!O36/'Liquiditätsplan-1.Jahr'!$C$36*'Liquiditätsplan-2.Jahr'!$C$36,0))</f>
        <v>0</v>
      </c>
    </row>
    <row r="170" spans="1:16">
      <c r="A170" s="1031" t="s">
        <v>402</v>
      </c>
      <c r="B170" s="1032">
        <f>IF(AND('Liquiditätsplan-1.Jahr'!$C$37=0,'Liquiditätsplan-2.Jahr'!$C$37&gt;0),'Liquiditätsplan-2.Jahr'!$C$37/12,IF('Liquiditätsplan-2.Jahr'!$C$37&gt;0,'Liquiditätsplan-1.Jahr'!D37/'Liquiditätsplan-1.Jahr'!$C$37*'Liquiditätsplan-2.Jahr'!$C$37,0))</f>
        <v>0</v>
      </c>
      <c r="C170" s="1032">
        <f>IF(AND('Liquiditätsplan-1.Jahr'!$C$37=0,'Liquiditätsplan-2.Jahr'!$C$37&gt;0),'Liquiditätsplan-2.Jahr'!$C$37/12,IF('Liquiditätsplan-2.Jahr'!$C$37&gt;0,'Liquiditätsplan-1.Jahr'!E37/'Liquiditätsplan-1.Jahr'!$C$37*'Liquiditätsplan-2.Jahr'!$C$37,0))</f>
        <v>0</v>
      </c>
      <c r="D170" s="1032">
        <f>IF(AND('Liquiditätsplan-1.Jahr'!$C$37=0,'Liquiditätsplan-2.Jahr'!$C$37&gt;0),'Liquiditätsplan-2.Jahr'!$C$37/12,IF('Liquiditätsplan-2.Jahr'!$C$37&gt;0,'Liquiditätsplan-1.Jahr'!F37/'Liquiditätsplan-1.Jahr'!$C$37*'Liquiditätsplan-2.Jahr'!$C$37,0))</f>
        <v>0</v>
      </c>
      <c r="E170" s="1032">
        <f>IF(AND('Liquiditätsplan-1.Jahr'!$C$37=0,'Liquiditätsplan-2.Jahr'!$C$37&gt;0),'Liquiditätsplan-2.Jahr'!$C$37/12,IF('Liquiditätsplan-2.Jahr'!$C$37&gt;0,'Liquiditätsplan-1.Jahr'!G37/'Liquiditätsplan-1.Jahr'!$C$37*'Liquiditätsplan-2.Jahr'!$C$37,0))</f>
        <v>0</v>
      </c>
      <c r="F170" s="1032">
        <f>IF(AND('Liquiditätsplan-1.Jahr'!$C$37=0,'Liquiditätsplan-2.Jahr'!$C$37&gt;0),'Liquiditätsplan-2.Jahr'!$C$37/12,IF('Liquiditätsplan-2.Jahr'!$C$37&gt;0,'Liquiditätsplan-1.Jahr'!H37/'Liquiditätsplan-1.Jahr'!$C$37*'Liquiditätsplan-2.Jahr'!$C$37,0))</f>
        <v>0</v>
      </c>
      <c r="G170" s="1032">
        <f>IF(AND('Liquiditätsplan-1.Jahr'!$C$37=0,'Liquiditätsplan-2.Jahr'!$C$37&gt;0),'Liquiditätsplan-2.Jahr'!$C$37/12,IF('Liquiditätsplan-2.Jahr'!$C$37&gt;0,'Liquiditätsplan-1.Jahr'!I37/'Liquiditätsplan-1.Jahr'!$C$37*'Liquiditätsplan-2.Jahr'!$C$37,0))</f>
        <v>0</v>
      </c>
      <c r="H170" s="1032">
        <f>IF(AND('Liquiditätsplan-1.Jahr'!$C$37=0,'Liquiditätsplan-2.Jahr'!$C$37&gt;0),'Liquiditätsplan-2.Jahr'!$C$37/12,IF('Liquiditätsplan-2.Jahr'!$C$37&gt;0,'Liquiditätsplan-1.Jahr'!J37/'Liquiditätsplan-1.Jahr'!$C$37*'Liquiditätsplan-2.Jahr'!$C$37,0))</f>
        <v>0</v>
      </c>
      <c r="I170" s="1032">
        <f>IF(AND('Liquiditätsplan-1.Jahr'!$C$37=0,'Liquiditätsplan-2.Jahr'!$C$37&gt;0),'Liquiditätsplan-2.Jahr'!$C$37/12,IF('Liquiditätsplan-2.Jahr'!$C$37&gt;0,'Liquiditätsplan-1.Jahr'!K37/'Liquiditätsplan-1.Jahr'!$C$37*'Liquiditätsplan-2.Jahr'!$C$37,0))</f>
        <v>0</v>
      </c>
      <c r="J170" s="1032">
        <f>IF(AND('Liquiditätsplan-1.Jahr'!$C$37=0,'Liquiditätsplan-2.Jahr'!$C$37&gt;0),'Liquiditätsplan-2.Jahr'!$C$37/12,IF('Liquiditätsplan-2.Jahr'!$C$37&gt;0,'Liquiditätsplan-1.Jahr'!L37/'Liquiditätsplan-1.Jahr'!$C$37*'Liquiditätsplan-2.Jahr'!$C$37,0))</f>
        <v>0</v>
      </c>
      <c r="K170" s="1032">
        <f>IF(AND('Liquiditätsplan-1.Jahr'!$C$37=0,'Liquiditätsplan-2.Jahr'!$C$37&gt;0),'Liquiditätsplan-2.Jahr'!$C$37/12,IF('Liquiditätsplan-2.Jahr'!$C$37&gt;0,'Liquiditätsplan-1.Jahr'!M37/'Liquiditätsplan-1.Jahr'!$C$37*'Liquiditätsplan-2.Jahr'!$C$37,0))</f>
        <v>0</v>
      </c>
      <c r="L170" s="1032">
        <f>IF(AND('Liquiditätsplan-1.Jahr'!$C$37=0,'Liquiditätsplan-2.Jahr'!$C$37&gt;0),'Liquiditätsplan-2.Jahr'!$C$37/12,IF('Liquiditätsplan-2.Jahr'!$C$37&gt;0,'Liquiditätsplan-1.Jahr'!N37/'Liquiditätsplan-1.Jahr'!$C$37*'Liquiditätsplan-2.Jahr'!$C$37,0))</f>
        <v>0</v>
      </c>
      <c r="M170" s="1033">
        <f>IF(AND('Liquiditätsplan-1.Jahr'!$C$37=0,'Liquiditätsplan-2.Jahr'!$C$37&gt;0),'Liquiditätsplan-2.Jahr'!$C$37/12,IF('Liquiditätsplan-2.Jahr'!$C$37&gt;0,'Liquiditätsplan-1.Jahr'!O37/'Liquiditätsplan-1.Jahr'!$C$37*'Liquiditätsplan-2.Jahr'!$C$37,0))</f>
        <v>0</v>
      </c>
    </row>
    <row r="171" spans="1:16">
      <c r="A171" s="1031" t="s">
        <v>397</v>
      </c>
      <c r="B171" s="1032">
        <f>IF(AND('Liquiditätsplan-1.Jahr'!$C$38=0,'Liquiditätsplan-2.Jahr'!$C$38&gt;0),'Liquiditätsplan-2.Jahr'!$C$38/12,IF('Liquiditätsplan-2.Jahr'!$C$38&gt;0,'Liquiditätsplan-1.Jahr'!D38/'Liquiditätsplan-1.Jahr'!$C$38*'Liquiditätsplan-2.Jahr'!$C$38,0))</f>
        <v>0</v>
      </c>
      <c r="C171" s="1032">
        <f>IF(AND('Liquiditätsplan-1.Jahr'!$C$38=0,'Liquiditätsplan-2.Jahr'!$C$38&gt;0),'Liquiditätsplan-2.Jahr'!$C$38/12,IF('Liquiditätsplan-2.Jahr'!$C$38&gt;0,'Liquiditätsplan-1.Jahr'!E38/'Liquiditätsplan-1.Jahr'!$C$38*'Liquiditätsplan-2.Jahr'!$C$38,0))</f>
        <v>0</v>
      </c>
      <c r="D171" s="1032">
        <f>IF(AND('Liquiditätsplan-1.Jahr'!$C$38=0,'Liquiditätsplan-2.Jahr'!$C$38&gt;0),'Liquiditätsplan-2.Jahr'!$C$38/12,IF('Liquiditätsplan-2.Jahr'!$C$38&gt;0,'Liquiditätsplan-1.Jahr'!F38/'Liquiditätsplan-1.Jahr'!$C$38*'Liquiditätsplan-2.Jahr'!$C$38,0))</f>
        <v>0</v>
      </c>
      <c r="E171" s="1032">
        <f>IF(AND('Liquiditätsplan-1.Jahr'!$C$38=0,'Liquiditätsplan-2.Jahr'!$C$38&gt;0),'Liquiditätsplan-2.Jahr'!$C$38/12,IF('Liquiditätsplan-2.Jahr'!$C$38&gt;0,'Liquiditätsplan-1.Jahr'!G38/'Liquiditätsplan-1.Jahr'!$C$38*'Liquiditätsplan-2.Jahr'!$C$38,0))</f>
        <v>0</v>
      </c>
      <c r="F171" s="1032">
        <f>IF(AND('Liquiditätsplan-1.Jahr'!$C$38=0,'Liquiditätsplan-2.Jahr'!$C$38&gt;0),'Liquiditätsplan-2.Jahr'!$C$38/12,IF('Liquiditätsplan-2.Jahr'!$C$38&gt;0,'Liquiditätsplan-1.Jahr'!H38/'Liquiditätsplan-1.Jahr'!$C$38*'Liquiditätsplan-2.Jahr'!$C$38,0))</f>
        <v>0</v>
      </c>
      <c r="G171" s="1032">
        <f>IF(AND('Liquiditätsplan-1.Jahr'!$C$38=0,'Liquiditätsplan-2.Jahr'!$C$38&gt;0),'Liquiditätsplan-2.Jahr'!$C$38/12,IF('Liquiditätsplan-2.Jahr'!$C$38&gt;0,'Liquiditätsplan-1.Jahr'!I38/'Liquiditätsplan-1.Jahr'!$C$38*'Liquiditätsplan-2.Jahr'!$C$38,0))</f>
        <v>0</v>
      </c>
      <c r="H171" s="1032">
        <f>IF(AND('Liquiditätsplan-1.Jahr'!$C$38=0,'Liquiditätsplan-2.Jahr'!$C$38&gt;0),'Liquiditätsplan-2.Jahr'!$C$38/12,IF('Liquiditätsplan-2.Jahr'!$C$38&gt;0,'Liquiditätsplan-1.Jahr'!J38/'Liquiditätsplan-1.Jahr'!$C$38*'Liquiditätsplan-2.Jahr'!$C$38,0))</f>
        <v>0</v>
      </c>
      <c r="I171" s="1032">
        <f>IF(AND('Liquiditätsplan-1.Jahr'!$C$38=0,'Liquiditätsplan-2.Jahr'!$C$38&gt;0),'Liquiditätsplan-2.Jahr'!$C$38/12,IF('Liquiditätsplan-2.Jahr'!$C$38&gt;0,'Liquiditätsplan-1.Jahr'!K38/'Liquiditätsplan-1.Jahr'!$C$38*'Liquiditätsplan-2.Jahr'!$C$38,0))</f>
        <v>0</v>
      </c>
      <c r="J171" s="1032">
        <f>IF(AND('Liquiditätsplan-1.Jahr'!$C$38=0,'Liquiditätsplan-2.Jahr'!$C$38&gt;0),'Liquiditätsplan-2.Jahr'!$C$38/12,IF('Liquiditätsplan-2.Jahr'!$C$38&gt;0,'Liquiditätsplan-1.Jahr'!L38/'Liquiditätsplan-1.Jahr'!$C$38*'Liquiditätsplan-2.Jahr'!$C$38,0))</f>
        <v>0</v>
      </c>
      <c r="K171" s="1032">
        <f>IF(AND('Liquiditätsplan-1.Jahr'!$C$38=0,'Liquiditätsplan-2.Jahr'!$C$38&gt;0),'Liquiditätsplan-2.Jahr'!$C$38/12,IF('Liquiditätsplan-2.Jahr'!$C$38&gt;0,'Liquiditätsplan-1.Jahr'!M38/'Liquiditätsplan-1.Jahr'!$C$38*'Liquiditätsplan-2.Jahr'!$C$38,0))</f>
        <v>0</v>
      </c>
      <c r="L171" s="1032">
        <f>IF(AND('Liquiditätsplan-1.Jahr'!$C$38=0,'Liquiditätsplan-2.Jahr'!$C$38&gt;0),'Liquiditätsplan-2.Jahr'!$C$38/12,IF('Liquiditätsplan-2.Jahr'!$C$38&gt;0,'Liquiditätsplan-1.Jahr'!N38/'Liquiditätsplan-1.Jahr'!$C$38*'Liquiditätsplan-2.Jahr'!$C$38,0))</f>
        <v>0</v>
      </c>
      <c r="M171" s="1033">
        <f>IF(AND('Liquiditätsplan-1.Jahr'!$C$38=0,'Liquiditätsplan-2.Jahr'!$C$38&gt;0),'Liquiditätsplan-2.Jahr'!$C$38/12,IF('Liquiditätsplan-2.Jahr'!$C$38&gt;0,'Liquiditätsplan-1.Jahr'!O38/'Liquiditätsplan-1.Jahr'!$C$38*'Liquiditätsplan-2.Jahr'!$C$38,0))</f>
        <v>0</v>
      </c>
    </row>
    <row r="172" spans="1:16">
      <c r="A172" s="1031" t="s">
        <v>398</v>
      </c>
      <c r="B172" s="1032">
        <f>IF(AND('Liquiditätsplan-1.Jahr'!$C$39=0,'Liquiditätsplan-2.Jahr'!$C$39&gt;0),'Liquiditätsplan-2.Jahr'!$C$39/12,IF('Liquiditätsplan-2.Jahr'!$C$39&gt;0,'Liquiditätsplan-1.Jahr'!D39/'Liquiditätsplan-1.Jahr'!$C$39*'Liquiditätsplan-2.Jahr'!$C$39,0))</f>
        <v>0</v>
      </c>
      <c r="C172" s="1032">
        <f>IF(AND('Liquiditätsplan-1.Jahr'!$C$39=0,'Liquiditätsplan-2.Jahr'!$C$39&gt;0),'Liquiditätsplan-2.Jahr'!$C$39/12,IF('Liquiditätsplan-2.Jahr'!$C$39&gt;0,'Liquiditätsplan-1.Jahr'!E39/'Liquiditätsplan-1.Jahr'!$C$39*'Liquiditätsplan-2.Jahr'!$C$39,0))</f>
        <v>0</v>
      </c>
      <c r="D172" s="1032">
        <f>IF(AND('Liquiditätsplan-1.Jahr'!$C$39=0,'Liquiditätsplan-2.Jahr'!$C$39&gt;0),'Liquiditätsplan-2.Jahr'!$C$39/12,IF('Liquiditätsplan-2.Jahr'!$C$39&gt;0,'Liquiditätsplan-1.Jahr'!F39/'Liquiditätsplan-1.Jahr'!$C$39*'Liquiditätsplan-2.Jahr'!$C$39,0))</f>
        <v>0</v>
      </c>
      <c r="E172" s="1032">
        <f>IF(AND('Liquiditätsplan-1.Jahr'!$C$39=0,'Liquiditätsplan-2.Jahr'!$C$39&gt;0),'Liquiditätsplan-2.Jahr'!$C$39/12,IF('Liquiditätsplan-2.Jahr'!$C$39&gt;0,'Liquiditätsplan-1.Jahr'!G39/'Liquiditätsplan-1.Jahr'!$C$39*'Liquiditätsplan-2.Jahr'!$C$39,0))</f>
        <v>0</v>
      </c>
      <c r="F172" s="1032">
        <f>IF(AND('Liquiditätsplan-1.Jahr'!$C$39=0,'Liquiditätsplan-2.Jahr'!$C$39&gt;0),'Liquiditätsplan-2.Jahr'!$C$39/12,IF('Liquiditätsplan-2.Jahr'!$C$39&gt;0,'Liquiditätsplan-1.Jahr'!H39/'Liquiditätsplan-1.Jahr'!$C$39*'Liquiditätsplan-2.Jahr'!$C$39,0))</f>
        <v>0</v>
      </c>
      <c r="G172" s="1032">
        <f>IF(AND('Liquiditätsplan-1.Jahr'!$C$39=0,'Liquiditätsplan-2.Jahr'!$C$39&gt;0),'Liquiditätsplan-2.Jahr'!$C$39/12,IF('Liquiditätsplan-2.Jahr'!$C$39&gt;0,'Liquiditätsplan-1.Jahr'!I39/'Liquiditätsplan-1.Jahr'!$C$39*'Liquiditätsplan-2.Jahr'!$C$39,0))</f>
        <v>0</v>
      </c>
      <c r="H172" s="1032">
        <f>IF(AND('Liquiditätsplan-1.Jahr'!$C$39=0,'Liquiditätsplan-2.Jahr'!$C$39&gt;0),'Liquiditätsplan-2.Jahr'!$C$39/12,IF('Liquiditätsplan-2.Jahr'!$C$39&gt;0,'Liquiditätsplan-1.Jahr'!J39/'Liquiditätsplan-1.Jahr'!$C$39*'Liquiditätsplan-2.Jahr'!$C$39,0))</f>
        <v>0</v>
      </c>
      <c r="I172" s="1032">
        <f>IF(AND('Liquiditätsplan-1.Jahr'!$C$39=0,'Liquiditätsplan-2.Jahr'!$C$39&gt;0),'Liquiditätsplan-2.Jahr'!$C$39/12,IF('Liquiditätsplan-2.Jahr'!$C$39&gt;0,'Liquiditätsplan-1.Jahr'!K39/'Liquiditätsplan-1.Jahr'!$C$39*'Liquiditätsplan-2.Jahr'!$C$39,0))</f>
        <v>0</v>
      </c>
      <c r="J172" s="1032">
        <f>IF(AND('Liquiditätsplan-1.Jahr'!$C$39=0,'Liquiditätsplan-2.Jahr'!$C$39&gt;0),'Liquiditätsplan-2.Jahr'!$C$39/12,IF('Liquiditätsplan-2.Jahr'!$C$39&gt;0,'Liquiditätsplan-1.Jahr'!L39/'Liquiditätsplan-1.Jahr'!$C$39*'Liquiditätsplan-2.Jahr'!$C$39,0))</f>
        <v>0</v>
      </c>
      <c r="K172" s="1032">
        <f>IF(AND('Liquiditätsplan-1.Jahr'!$C$39=0,'Liquiditätsplan-2.Jahr'!$C$39&gt;0),'Liquiditätsplan-2.Jahr'!$C$39/12,IF('Liquiditätsplan-2.Jahr'!$C$39&gt;0,'Liquiditätsplan-1.Jahr'!M39/'Liquiditätsplan-1.Jahr'!$C$39*'Liquiditätsplan-2.Jahr'!$C$39,0))</f>
        <v>0</v>
      </c>
      <c r="L172" s="1032">
        <f>IF(AND('Liquiditätsplan-1.Jahr'!$C$39=0,'Liquiditätsplan-2.Jahr'!$C$39&gt;0),'Liquiditätsplan-2.Jahr'!$C$39/12,IF('Liquiditätsplan-2.Jahr'!$C$39&gt;0,'Liquiditätsplan-1.Jahr'!N39/'Liquiditätsplan-1.Jahr'!$C$39*'Liquiditätsplan-2.Jahr'!$C$39,0))</f>
        <v>0</v>
      </c>
      <c r="M172" s="1033">
        <f>IF(AND('Liquiditätsplan-1.Jahr'!$C$39=0,'Liquiditätsplan-2.Jahr'!$C$39&gt;0),'Liquiditätsplan-2.Jahr'!$C$39/12,IF('Liquiditätsplan-2.Jahr'!$C$39&gt;0,'Liquiditätsplan-1.Jahr'!O39/'Liquiditätsplan-1.Jahr'!$C$39*'Liquiditätsplan-2.Jahr'!$C$39,0))</f>
        <v>0</v>
      </c>
      <c r="O172" s="26" t="s">
        <v>574</v>
      </c>
      <c r="P172" s="26">
        <f>IF('übrige Kosten'!E27="",0,'übrige Kosten'!E27)</f>
        <v>0</v>
      </c>
    </row>
    <row r="173" spans="1:16">
      <c r="A173" s="1031" t="s">
        <v>399</v>
      </c>
      <c r="B173" s="1032">
        <f>IF(AND('Liquiditätsplan-1.Jahr'!$C$40=0,'Liquiditätsplan-2.Jahr'!$C$40&gt;0),'Liquiditätsplan-2.Jahr'!$C$40/12,IF('Liquiditätsplan-2.Jahr'!$C$40&gt;0,'Liquiditätsplan-1.Jahr'!D40/'Liquiditätsplan-1.Jahr'!$C$40*'Liquiditätsplan-2.Jahr'!$C$40,0))</f>
        <v>0</v>
      </c>
      <c r="C173" s="1032">
        <f>IF(AND('Liquiditätsplan-1.Jahr'!$C$40=0,'Liquiditätsplan-2.Jahr'!$C$40&gt;0),'Liquiditätsplan-2.Jahr'!$C$40/12,IF('Liquiditätsplan-2.Jahr'!$C$40&gt;0,'Liquiditätsplan-1.Jahr'!E40/'Liquiditätsplan-1.Jahr'!$C$40*'Liquiditätsplan-2.Jahr'!$C$40,0))</f>
        <v>0</v>
      </c>
      <c r="D173" s="1032">
        <f>IF(AND('Liquiditätsplan-1.Jahr'!$C$40=0,'Liquiditätsplan-2.Jahr'!$C$40&gt;0),'Liquiditätsplan-2.Jahr'!$C$40/12,IF('Liquiditätsplan-2.Jahr'!$C$40&gt;0,'Liquiditätsplan-1.Jahr'!F40/'Liquiditätsplan-1.Jahr'!$C$40*'Liquiditätsplan-2.Jahr'!$C$40,0))</f>
        <v>0</v>
      </c>
      <c r="E173" s="1032">
        <f>IF(AND('Liquiditätsplan-1.Jahr'!$C$40=0,'Liquiditätsplan-2.Jahr'!$C$40&gt;0),'Liquiditätsplan-2.Jahr'!$C$40/12,IF('Liquiditätsplan-2.Jahr'!$C$40&gt;0,'Liquiditätsplan-1.Jahr'!G40/'Liquiditätsplan-1.Jahr'!$C$40*'Liquiditätsplan-2.Jahr'!$C$40,0))</f>
        <v>0</v>
      </c>
      <c r="F173" s="1032">
        <f>IF(AND('Liquiditätsplan-1.Jahr'!$C$40=0,'Liquiditätsplan-2.Jahr'!$C$40&gt;0),'Liquiditätsplan-2.Jahr'!$C$40/12,IF('Liquiditätsplan-2.Jahr'!$C$40&gt;0,'Liquiditätsplan-1.Jahr'!H40/'Liquiditätsplan-1.Jahr'!$C$40*'Liquiditätsplan-2.Jahr'!$C$40,0))</f>
        <v>0</v>
      </c>
      <c r="G173" s="1032">
        <f>IF(AND('Liquiditätsplan-1.Jahr'!$C$40=0,'Liquiditätsplan-2.Jahr'!$C$40&gt;0),'Liquiditätsplan-2.Jahr'!$C$40/12,IF('Liquiditätsplan-2.Jahr'!$C$40&gt;0,'Liquiditätsplan-1.Jahr'!I40/'Liquiditätsplan-1.Jahr'!$C$40*'Liquiditätsplan-2.Jahr'!$C$40,0))</f>
        <v>0</v>
      </c>
      <c r="H173" s="1032">
        <f>IF(AND('Liquiditätsplan-1.Jahr'!$C$40=0,'Liquiditätsplan-2.Jahr'!$C$40&gt;0),'Liquiditätsplan-2.Jahr'!$C$40/12,IF('Liquiditätsplan-2.Jahr'!$C$40&gt;0,'Liquiditätsplan-1.Jahr'!J40/'Liquiditätsplan-1.Jahr'!$C$40*'Liquiditätsplan-2.Jahr'!$C$40,0))</f>
        <v>0</v>
      </c>
      <c r="I173" s="1032">
        <f>IF(AND('Liquiditätsplan-1.Jahr'!$C$40=0,'Liquiditätsplan-2.Jahr'!$C$40&gt;0),'Liquiditätsplan-2.Jahr'!$C$40/12,IF('Liquiditätsplan-2.Jahr'!$C$40&gt;0,'Liquiditätsplan-1.Jahr'!K40/'Liquiditätsplan-1.Jahr'!$C$40*'Liquiditätsplan-2.Jahr'!$C$40,0))</f>
        <v>0</v>
      </c>
      <c r="J173" s="1032">
        <f>IF(AND('Liquiditätsplan-1.Jahr'!$C$40=0,'Liquiditätsplan-2.Jahr'!$C$40&gt;0),'Liquiditätsplan-2.Jahr'!$C$40/12,IF('Liquiditätsplan-2.Jahr'!$C$40&gt;0,'Liquiditätsplan-1.Jahr'!L40/'Liquiditätsplan-1.Jahr'!$C$40*'Liquiditätsplan-2.Jahr'!$C$40,0))</f>
        <v>0</v>
      </c>
      <c r="K173" s="1032">
        <f>IF(AND('Liquiditätsplan-1.Jahr'!$C$40=0,'Liquiditätsplan-2.Jahr'!$C$40&gt;0),'Liquiditätsplan-2.Jahr'!$C$40/12,IF('Liquiditätsplan-2.Jahr'!$C$40&gt;0,'Liquiditätsplan-1.Jahr'!M40/'Liquiditätsplan-1.Jahr'!$C$40*'Liquiditätsplan-2.Jahr'!$C$40,0))</f>
        <v>0</v>
      </c>
      <c r="L173" s="1032">
        <f>IF(AND('Liquiditätsplan-1.Jahr'!$C$40=0,'Liquiditätsplan-2.Jahr'!$C$40&gt;0),'Liquiditätsplan-2.Jahr'!$C$40/12,IF('Liquiditätsplan-2.Jahr'!$C$40&gt;0,'Liquiditätsplan-1.Jahr'!N40/'Liquiditätsplan-1.Jahr'!$C$40*'Liquiditätsplan-2.Jahr'!$C$40,0))</f>
        <v>0</v>
      </c>
      <c r="M173" s="1033">
        <f>IF(AND('Liquiditätsplan-1.Jahr'!$C$40=0,'Liquiditätsplan-2.Jahr'!$C$40&gt;0),'Liquiditätsplan-2.Jahr'!$C$40/12,IF('Liquiditätsplan-2.Jahr'!$C$40&gt;0,'Liquiditätsplan-1.Jahr'!O40/'Liquiditätsplan-1.Jahr'!$C$40*'Liquiditätsplan-2.Jahr'!$C$40,0))</f>
        <v>0</v>
      </c>
      <c r="O173" s="26" t="s">
        <v>575</v>
      </c>
      <c r="P173" s="26">
        <f>IF('übrige Kosten'!E28="",0,'übrige Kosten'!E28)</f>
        <v>0</v>
      </c>
    </row>
    <row r="174" spans="1:16">
      <c r="A174" s="1031" t="s">
        <v>84</v>
      </c>
      <c r="B174" s="1032">
        <f>IF(AND('Liquiditätsplan-1.Jahr'!$C$43=0,'Liquiditätsplan-2.Jahr'!$C$43&gt;0),'Liquiditätsplan-2.Jahr'!$C$43/12,IF('Liquiditätsplan-2.Jahr'!$C$43&gt;0,'Liquiditätsplan-1.Jahr'!D43/'Liquiditätsplan-1.Jahr'!$C$43*'Liquiditätsplan-2.Jahr'!$C$43,0))</f>
        <v>0</v>
      </c>
      <c r="C174" s="1032">
        <f>IF(AND('Liquiditätsplan-1.Jahr'!$C$43=0,'Liquiditätsplan-2.Jahr'!$C$43&gt;0),'Liquiditätsplan-2.Jahr'!$C$43/12,IF('Liquiditätsplan-2.Jahr'!$C$43&gt;0,'Liquiditätsplan-1.Jahr'!E43/'Liquiditätsplan-1.Jahr'!$C$43*'Liquiditätsplan-2.Jahr'!$C$43,0))</f>
        <v>0</v>
      </c>
      <c r="D174" s="1032">
        <f>IF(AND('Liquiditätsplan-1.Jahr'!$C$43=0,'Liquiditätsplan-2.Jahr'!$C$43&gt;0),'Liquiditätsplan-2.Jahr'!$C$43/12,IF('Liquiditätsplan-2.Jahr'!$C$43&gt;0,'Liquiditätsplan-1.Jahr'!F43/'Liquiditätsplan-1.Jahr'!$C$43*'Liquiditätsplan-2.Jahr'!$C$43,0))</f>
        <v>0</v>
      </c>
      <c r="E174" s="1032">
        <f>IF(AND('Liquiditätsplan-1.Jahr'!$C$43=0,'Liquiditätsplan-2.Jahr'!$C$43&gt;0),'Liquiditätsplan-2.Jahr'!$C$43/12,IF('Liquiditätsplan-2.Jahr'!$C$43&gt;0,'Liquiditätsplan-1.Jahr'!G43/'Liquiditätsplan-1.Jahr'!$C$43*'Liquiditätsplan-2.Jahr'!$C$43,0))</f>
        <v>0</v>
      </c>
      <c r="F174" s="1032">
        <f>IF(AND('Liquiditätsplan-1.Jahr'!$C$43=0,'Liquiditätsplan-2.Jahr'!$C$43&gt;0),'Liquiditätsplan-2.Jahr'!$C$43/12,IF('Liquiditätsplan-2.Jahr'!$C$43&gt;0,'Liquiditätsplan-1.Jahr'!H43/'Liquiditätsplan-1.Jahr'!$C$43*'Liquiditätsplan-2.Jahr'!$C$43,0))</f>
        <v>0</v>
      </c>
      <c r="G174" s="1032">
        <f>IF(AND('Liquiditätsplan-1.Jahr'!$C$43=0,'Liquiditätsplan-2.Jahr'!$C$43&gt;0),'Liquiditätsplan-2.Jahr'!$C$43/12,IF('Liquiditätsplan-2.Jahr'!$C$43&gt;0,'Liquiditätsplan-1.Jahr'!I43/'Liquiditätsplan-1.Jahr'!$C$43*'Liquiditätsplan-2.Jahr'!$C$43,0))</f>
        <v>0</v>
      </c>
      <c r="H174" s="1032">
        <f>IF(AND('Liquiditätsplan-1.Jahr'!$C$43=0,'Liquiditätsplan-2.Jahr'!$C$43&gt;0),'Liquiditätsplan-2.Jahr'!$C$43/12,IF('Liquiditätsplan-2.Jahr'!$C$43&gt;0,'Liquiditätsplan-1.Jahr'!J43/'Liquiditätsplan-1.Jahr'!$C$43*'Liquiditätsplan-2.Jahr'!$C$43,0))</f>
        <v>0</v>
      </c>
      <c r="I174" s="1032">
        <f>IF(AND('Liquiditätsplan-1.Jahr'!$C$43=0,'Liquiditätsplan-2.Jahr'!$C$43&gt;0),'Liquiditätsplan-2.Jahr'!$C$43/12,IF('Liquiditätsplan-2.Jahr'!$C$43&gt;0,'Liquiditätsplan-1.Jahr'!K43/'Liquiditätsplan-1.Jahr'!$C$43*'Liquiditätsplan-2.Jahr'!$C$43,0))</f>
        <v>0</v>
      </c>
      <c r="J174" s="1032">
        <f>IF(AND('Liquiditätsplan-1.Jahr'!$C$43=0,'Liquiditätsplan-2.Jahr'!$C$43&gt;0),'Liquiditätsplan-2.Jahr'!$C$43/12,IF('Liquiditätsplan-2.Jahr'!$C$43&gt;0,'Liquiditätsplan-1.Jahr'!L43/'Liquiditätsplan-1.Jahr'!$C$43*'Liquiditätsplan-2.Jahr'!$C$43,0))</f>
        <v>0</v>
      </c>
      <c r="K174" s="1032">
        <f>IF(AND('Liquiditätsplan-1.Jahr'!$C$43=0,'Liquiditätsplan-2.Jahr'!$C$43&gt;0),'Liquiditätsplan-2.Jahr'!$C$43/12,IF('Liquiditätsplan-2.Jahr'!$C$43&gt;0,'Liquiditätsplan-1.Jahr'!M43/'Liquiditätsplan-1.Jahr'!$C$43*'Liquiditätsplan-2.Jahr'!$C$43,0))</f>
        <v>0</v>
      </c>
      <c r="L174" s="1032">
        <f>IF(AND('Liquiditätsplan-1.Jahr'!$C$43=0,'Liquiditätsplan-2.Jahr'!$C$43&gt;0),'Liquiditätsplan-2.Jahr'!$C$43/12,IF('Liquiditätsplan-2.Jahr'!$C$43&gt;0,'Liquiditätsplan-1.Jahr'!N43/'Liquiditätsplan-1.Jahr'!$C$43*'Liquiditätsplan-2.Jahr'!$C$43,0))</f>
        <v>0</v>
      </c>
      <c r="M174" s="1033">
        <f>IF(AND('Liquiditätsplan-1.Jahr'!$C$43=0,'Liquiditätsplan-2.Jahr'!$C$43&gt;0),'Liquiditätsplan-2.Jahr'!$C$43/12,IF('Liquiditätsplan-2.Jahr'!$C$43&gt;0,'Liquiditätsplan-1.Jahr'!O43/'Liquiditätsplan-1.Jahr'!$C$43*'Liquiditätsplan-2.Jahr'!$C$43,0))</f>
        <v>0</v>
      </c>
      <c r="O174" s="26" t="s">
        <v>576</v>
      </c>
      <c r="P174" s="26">
        <f>IF('übrige Kosten'!E29="",0,'übrige Kosten'!E29)</f>
        <v>0</v>
      </c>
    </row>
    <row r="175" spans="1:16">
      <c r="A175" s="32"/>
      <c r="B175"/>
      <c r="M175" s="34"/>
    </row>
    <row r="176" spans="1:16">
      <c r="A176" s="32"/>
      <c r="B176"/>
      <c r="M176" s="34"/>
    </row>
    <row r="177" spans="1:13">
      <c r="A177" s="32"/>
      <c r="B177" t="s">
        <v>577</v>
      </c>
      <c r="M177" s="34"/>
    </row>
    <row r="178" spans="1:13">
      <c r="A178" s="1034" t="s">
        <v>578</v>
      </c>
      <c r="B178" t="s">
        <v>577</v>
      </c>
      <c r="M178" s="34"/>
    </row>
    <row r="179" spans="1:13">
      <c r="A179" s="1031"/>
      <c r="B179">
        <v>1</v>
      </c>
      <c r="C179" s="26">
        <v>2</v>
      </c>
      <c r="D179" s="26">
        <v>3</v>
      </c>
      <c r="E179" s="26">
        <v>4</v>
      </c>
      <c r="F179" s="26">
        <v>5</v>
      </c>
      <c r="G179" s="26">
        <v>6</v>
      </c>
      <c r="H179" s="26">
        <v>7</v>
      </c>
      <c r="I179" s="26">
        <v>8</v>
      </c>
      <c r="J179" s="26">
        <v>9</v>
      </c>
      <c r="K179" s="26">
        <v>10</v>
      </c>
      <c r="L179" s="26">
        <v>11</v>
      </c>
      <c r="M179" s="34">
        <v>12</v>
      </c>
    </row>
    <row r="180" spans="1:13">
      <c r="A180" s="1031" t="s">
        <v>61</v>
      </c>
      <c r="B180" s="1032">
        <f>IF(AND('Liquiditätsplan-3.Jahr'!$C$14&gt;0,'Liquiditätsplan-2.Jahr'!$C$14=0),'Liquiditätsplan-3.Jahr'!$C$14/12,IF('Liquiditätsplan-3.Jahr'!$C$14&gt;0,'Liquiditätsplan-2.Jahr'!D14/'Liquiditätsplan-2.Jahr'!$C$14*'Liquiditätsplan-3.Jahr'!$C$14,0))</f>
        <v>0</v>
      </c>
      <c r="C180" s="1032">
        <f>IF(AND('Liquiditätsplan-3.Jahr'!$C$14&gt;0,'Liquiditätsplan-2.Jahr'!$C$14=0),'Liquiditätsplan-3.Jahr'!$C$14/12,IF('Liquiditätsplan-3.Jahr'!$C$14&gt;0,'Liquiditätsplan-2.Jahr'!E14/'Liquiditätsplan-2.Jahr'!$C$14*'Liquiditätsplan-3.Jahr'!$C$14,0))</f>
        <v>0</v>
      </c>
      <c r="D180" s="1032">
        <f>IF(AND('Liquiditätsplan-3.Jahr'!$C$14&gt;0,'Liquiditätsplan-2.Jahr'!$C$14=0),'Liquiditätsplan-3.Jahr'!$C$14/12,IF('Liquiditätsplan-3.Jahr'!$C$14&gt;0,'Liquiditätsplan-2.Jahr'!F14/'Liquiditätsplan-2.Jahr'!$C$14*'Liquiditätsplan-3.Jahr'!$C$14,0))</f>
        <v>0</v>
      </c>
      <c r="E180" s="1032">
        <f>IF(AND('Liquiditätsplan-3.Jahr'!$C$14&gt;0,'Liquiditätsplan-2.Jahr'!$C$14=0),'Liquiditätsplan-3.Jahr'!$C$14/12,IF('Liquiditätsplan-3.Jahr'!$C$14&gt;0,'Liquiditätsplan-2.Jahr'!G14/'Liquiditätsplan-2.Jahr'!$C$14*'Liquiditätsplan-3.Jahr'!$C$14,0))</f>
        <v>0</v>
      </c>
      <c r="F180" s="1032">
        <f>IF(AND('Liquiditätsplan-3.Jahr'!$C$14&gt;0,'Liquiditätsplan-2.Jahr'!$C$14=0),'Liquiditätsplan-3.Jahr'!$C$14/12,IF('Liquiditätsplan-3.Jahr'!$C$14&gt;0,'Liquiditätsplan-2.Jahr'!H14/'Liquiditätsplan-2.Jahr'!$C$14*'Liquiditätsplan-3.Jahr'!$C$14,0))</f>
        <v>0</v>
      </c>
      <c r="G180" s="1032">
        <f>IF(AND('Liquiditätsplan-3.Jahr'!$C$14&gt;0,'Liquiditätsplan-2.Jahr'!$C$14=0),'Liquiditätsplan-3.Jahr'!$C$14/12,IF('Liquiditätsplan-3.Jahr'!$C$14&gt;0,'Liquiditätsplan-2.Jahr'!I14/'Liquiditätsplan-2.Jahr'!$C$14*'Liquiditätsplan-3.Jahr'!$C$14,0))</f>
        <v>0</v>
      </c>
      <c r="H180" s="1032">
        <f>IF(AND('Liquiditätsplan-3.Jahr'!$C$14&gt;0,'Liquiditätsplan-2.Jahr'!$C$14=0),'Liquiditätsplan-3.Jahr'!$C$14/12,IF('Liquiditätsplan-3.Jahr'!$C$14&gt;0,'Liquiditätsplan-2.Jahr'!J14/'Liquiditätsplan-2.Jahr'!$C$14*'Liquiditätsplan-3.Jahr'!$C$14,0))</f>
        <v>0</v>
      </c>
      <c r="I180" s="1032">
        <f>IF(AND('Liquiditätsplan-3.Jahr'!$C$14&gt;0,'Liquiditätsplan-2.Jahr'!$C$14=0),'Liquiditätsplan-3.Jahr'!$C$14/12,IF('Liquiditätsplan-3.Jahr'!$C$14&gt;0,'Liquiditätsplan-2.Jahr'!K14/'Liquiditätsplan-2.Jahr'!$C$14*'Liquiditätsplan-3.Jahr'!$C$14,0))</f>
        <v>0</v>
      </c>
      <c r="J180" s="1032">
        <f>IF(AND('Liquiditätsplan-3.Jahr'!$C$14&gt;0,'Liquiditätsplan-2.Jahr'!$C$14=0),'Liquiditätsplan-3.Jahr'!$C$14/12,IF('Liquiditätsplan-3.Jahr'!$C$14&gt;0,'Liquiditätsplan-2.Jahr'!L14/'Liquiditätsplan-2.Jahr'!$C$14*'Liquiditätsplan-3.Jahr'!$C$14,0))</f>
        <v>0</v>
      </c>
      <c r="K180" s="1032">
        <f>IF(AND('Liquiditätsplan-3.Jahr'!$C$14&gt;0,'Liquiditätsplan-2.Jahr'!$C$14=0),'Liquiditätsplan-3.Jahr'!$C$14/12,IF('Liquiditätsplan-3.Jahr'!$C$14&gt;0,'Liquiditätsplan-2.Jahr'!M14/'Liquiditätsplan-2.Jahr'!$C$14*'Liquiditätsplan-3.Jahr'!$C$14,0))</f>
        <v>0</v>
      </c>
      <c r="L180" s="1032">
        <f>IF(AND('Liquiditätsplan-3.Jahr'!$C$14&gt;0,'Liquiditätsplan-2.Jahr'!$C$14=0),'Liquiditätsplan-3.Jahr'!$C$14/12,IF('Liquiditätsplan-3.Jahr'!$C$14&gt;0,'Liquiditätsplan-2.Jahr'!N14/'Liquiditätsplan-2.Jahr'!$C$14*'Liquiditätsplan-3.Jahr'!$C$14,0))</f>
        <v>0</v>
      </c>
      <c r="M180" s="1033">
        <f>IF(AND('Liquiditätsplan-3.Jahr'!$C$14&gt;0,'Liquiditätsplan-2.Jahr'!$C$14=0),'Liquiditätsplan-3.Jahr'!$C$14/12,IF('Liquiditätsplan-3.Jahr'!$C$14&gt;0,'Liquiditätsplan-2.Jahr'!O14/'Liquiditätsplan-2.Jahr'!$C$14*'Liquiditätsplan-3.Jahr'!$C$14,0))</f>
        <v>0</v>
      </c>
    </row>
    <row r="181" spans="1:13">
      <c r="A181" s="1031" t="s">
        <v>76</v>
      </c>
      <c r="B181" s="1032">
        <f>IF(AND('Liquiditätsplan-3.Jahr'!$C$27&gt;0,'Liquiditätsplan-2.Jahr'!$C$27=0),'Liquiditätsplan-3.Jahr'!$C$27/12,IF('Liquiditätsplan-3.Jahr'!$C$27&gt;0,'Liquiditätsplan-2.Jahr'!D27/'Liquiditätsplan-2.Jahr'!$C$27*'Liquiditätsplan-3.Jahr'!$C$27,0))</f>
        <v>0</v>
      </c>
      <c r="C181" s="1032">
        <f>IF(AND('Liquiditätsplan-3.Jahr'!$C$27&gt;0,'Liquiditätsplan-2.Jahr'!$C$27=0),'Liquiditätsplan-3.Jahr'!$C$27/12,IF('Liquiditätsplan-3.Jahr'!$C$27&gt;0,'Liquiditätsplan-2.Jahr'!E27/'Liquiditätsplan-2.Jahr'!$C$27*'Liquiditätsplan-3.Jahr'!$C$27,0))</f>
        <v>0</v>
      </c>
      <c r="D181" s="1032">
        <f>IF(AND('Liquiditätsplan-3.Jahr'!$C$27&gt;0,'Liquiditätsplan-2.Jahr'!$C$27=0),'Liquiditätsplan-3.Jahr'!$C$27/12,IF('Liquiditätsplan-3.Jahr'!$C$27&gt;0,'Liquiditätsplan-2.Jahr'!F27/'Liquiditätsplan-2.Jahr'!$C$27*'Liquiditätsplan-3.Jahr'!$C$27,0))</f>
        <v>0</v>
      </c>
      <c r="E181" s="1032">
        <f>IF(AND('Liquiditätsplan-3.Jahr'!$C$27&gt;0,'Liquiditätsplan-2.Jahr'!$C$27=0),'Liquiditätsplan-3.Jahr'!$C$27/12,IF('Liquiditätsplan-3.Jahr'!$C$27&gt;0,'Liquiditätsplan-2.Jahr'!G27/'Liquiditätsplan-2.Jahr'!$C$27*'Liquiditätsplan-3.Jahr'!$C$27,0))</f>
        <v>0</v>
      </c>
      <c r="F181" s="1032">
        <f>IF(AND('Liquiditätsplan-3.Jahr'!$C$27&gt;0,'Liquiditätsplan-2.Jahr'!$C$27=0),'Liquiditätsplan-3.Jahr'!$C$27/12,IF('Liquiditätsplan-3.Jahr'!$C$27&gt;0,'Liquiditätsplan-2.Jahr'!H27/'Liquiditätsplan-2.Jahr'!$C$27*'Liquiditätsplan-3.Jahr'!$C$27,0))</f>
        <v>0</v>
      </c>
      <c r="G181" s="1032">
        <f>IF(AND('Liquiditätsplan-3.Jahr'!$C$27&gt;0,'Liquiditätsplan-2.Jahr'!$C$27=0),'Liquiditätsplan-3.Jahr'!$C$27/12,IF('Liquiditätsplan-3.Jahr'!$C$27&gt;0,'Liquiditätsplan-2.Jahr'!I27/'Liquiditätsplan-2.Jahr'!$C$27*'Liquiditätsplan-3.Jahr'!$C$27,0))</f>
        <v>0</v>
      </c>
      <c r="H181" s="1032">
        <f>IF(AND('Liquiditätsplan-3.Jahr'!$C$27&gt;0,'Liquiditätsplan-2.Jahr'!$C$27=0),'Liquiditätsplan-3.Jahr'!$C$27/12,IF('Liquiditätsplan-3.Jahr'!$C$27&gt;0,'Liquiditätsplan-2.Jahr'!J27/'Liquiditätsplan-2.Jahr'!$C$27*'Liquiditätsplan-3.Jahr'!$C$27,0))</f>
        <v>0</v>
      </c>
      <c r="I181" s="1032">
        <f>IF(AND('Liquiditätsplan-3.Jahr'!$C$27&gt;0,'Liquiditätsplan-2.Jahr'!$C$27=0),'Liquiditätsplan-3.Jahr'!$C$27/12,IF('Liquiditätsplan-3.Jahr'!$C$27&gt;0,'Liquiditätsplan-2.Jahr'!K27/'Liquiditätsplan-2.Jahr'!$C$27*'Liquiditätsplan-3.Jahr'!$C$27,0))</f>
        <v>0</v>
      </c>
      <c r="J181" s="1032">
        <f>IF(AND('Liquiditätsplan-3.Jahr'!$C$27&gt;0,'Liquiditätsplan-2.Jahr'!$C$27=0),'Liquiditätsplan-3.Jahr'!$C$27/12,IF('Liquiditätsplan-3.Jahr'!$C$27&gt;0,'Liquiditätsplan-2.Jahr'!L27/'Liquiditätsplan-2.Jahr'!$C$27*'Liquiditätsplan-3.Jahr'!$C$27,0))</f>
        <v>0</v>
      </c>
      <c r="K181" s="1032">
        <f>IF(AND('Liquiditätsplan-3.Jahr'!$C$27&gt;0,'Liquiditätsplan-2.Jahr'!$C$27=0),'Liquiditätsplan-3.Jahr'!$C$27/12,IF('Liquiditätsplan-3.Jahr'!$C$27&gt;0,'Liquiditätsplan-2.Jahr'!M27/'Liquiditätsplan-2.Jahr'!$C$27*'Liquiditätsplan-3.Jahr'!$C$27,0))</f>
        <v>0</v>
      </c>
      <c r="L181" s="1032">
        <f>IF(AND('Liquiditätsplan-3.Jahr'!$C$27&gt;0,'Liquiditätsplan-2.Jahr'!$C$27=0),'Liquiditätsplan-3.Jahr'!$C$27/12,IF('Liquiditätsplan-3.Jahr'!$C$27&gt;0,'Liquiditätsplan-2.Jahr'!N27/'Liquiditätsplan-2.Jahr'!$C$27*'Liquiditätsplan-3.Jahr'!$C$27,0))</f>
        <v>0</v>
      </c>
      <c r="M181" s="1033">
        <f>IF(AND('Liquiditätsplan-3.Jahr'!$C$27&gt;0,'Liquiditätsplan-2.Jahr'!$C$27=0),'Liquiditätsplan-3.Jahr'!$C$27/12,IF('Liquiditätsplan-3.Jahr'!$C$27&gt;0,'Liquiditätsplan-2.Jahr'!O27/'Liquiditätsplan-2.Jahr'!$C$27*'Liquiditätsplan-3.Jahr'!$C$27,0))</f>
        <v>0</v>
      </c>
    </row>
    <row r="182" spans="1:13">
      <c r="A182" s="1031" t="s">
        <v>40</v>
      </c>
      <c r="B182" s="1032">
        <f>IF(AND('Liquiditätsplan-3.Jahr'!$C$28&gt;0,'Liquiditätsplan-2.Jahr'!$C$28=0),'Liquiditätsplan-3.Jahr'!$C$28/12,IF('Liquiditätsplan-3.Jahr'!$C$28&gt;0,'Liquiditätsplan-2.Jahr'!D28/'Liquiditätsplan-2.Jahr'!$C$28*'Liquiditätsplan-3.Jahr'!$C$28,0))</f>
        <v>0</v>
      </c>
      <c r="C182" s="1032">
        <f>IF(AND('Liquiditätsplan-3.Jahr'!$C$28&gt;0,'Liquiditätsplan-2.Jahr'!$C$28=0),'Liquiditätsplan-3.Jahr'!$C$28/12,IF('Liquiditätsplan-3.Jahr'!$C$28&gt;0,'Liquiditätsplan-2.Jahr'!E28/'Liquiditätsplan-2.Jahr'!$C$28*'Liquiditätsplan-3.Jahr'!$C$28,0))</f>
        <v>0</v>
      </c>
      <c r="D182" s="1032">
        <f>IF(AND('Liquiditätsplan-3.Jahr'!$C$28&gt;0,'Liquiditätsplan-2.Jahr'!$C$28=0),'Liquiditätsplan-3.Jahr'!$C$28/12,IF('Liquiditätsplan-3.Jahr'!$C$28&gt;0,'Liquiditätsplan-2.Jahr'!F28/'Liquiditätsplan-2.Jahr'!$C$28*'Liquiditätsplan-3.Jahr'!$C$28,0))</f>
        <v>0</v>
      </c>
      <c r="E182" s="1032">
        <f>IF(AND('Liquiditätsplan-3.Jahr'!$C$28&gt;0,'Liquiditätsplan-2.Jahr'!$C$28=0),'Liquiditätsplan-3.Jahr'!$C$28/12,IF('Liquiditätsplan-3.Jahr'!$C$28&gt;0,'Liquiditätsplan-2.Jahr'!G28/'Liquiditätsplan-2.Jahr'!$C$28*'Liquiditätsplan-3.Jahr'!$C$28,0))</f>
        <v>0</v>
      </c>
      <c r="F182" s="1032">
        <f>IF(AND('Liquiditätsplan-3.Jahr'!$C$28&gt;0,'Liquiditätsplan-2.Jahr'!$C$28=0),'Liquiditätsplan-3.Jahr'!$C$28/12,IF('Liquiditätsplan-3.Jahr'!$C$28&gt;0,'Liquiditätsplan-2.Jahr'!H28/'Liquiditätsplan-2.Jahr'!$C$28*'Liquiditätsplan-3.Jahr'!$C$28,0))</f>
        <v>0</v>
      </c>
      <c r="G182" s="1032">
        <f>IF(AND('Liquiditätsplan-3.Jahr'!$C$28&gt;0,'Liquiditätsplan-2.Jahr'!$C$28=0),'Liquiditätsplan-3.Jahr'!$C$28/12,IF('Liquiditätsplan-3.Jahr'!$C$28&gt;0,'Liquiditätsplan-2.Jahr'!I28/'Liquiditätsplan-2.Jahr'!$C$28*'Liquiditätsplan-3.Jahr'!$C$28,0))</f>
        <v>0</v>
      </c>
      <c r="H182" s="1032">
        <f>IF(AND('Liquiditätsplan-3.Jahr'!$C$28&gt;0,'Liquiditätsplan-2.Jahr'!$C$28=0),'Liquiditätsplan-3.Jahr'!$C$28/12,IF('Liquiditätsplan-3.Jahr'!$C$28&gt;0,'Liquiditätsplan-2.Jahr'!J28/'Liquiditätsplan-2.Jahr'!$C$28*'Liquiditätsplan-3.Jahr'!$C$28,0))</f>
        <v>0</v>
      </c>
      <c r="I182" s="1032">
        <f>IF(AND('Liquiditätsplan-3.Jahr'!$C$28&gt;0,'Liquiditätsplan-2.Jahr'!$C$28=0),'Liquiditätsplan-3.Jahr'!$C$28/12,IF('Liquiditätsplan-3.Jahr'!$C$28&gt;0,'Liquiditätsplan-2.Jahr'!K28/'Liquiditätsplan-2.Jahr'!$C$28*'Liquiditätsplan-3.Jahr'!$C$28,0))</f>
        <v>0</v>
      </c>
      <c r="J182" s="1032">
        <f>IF(AND('Liquiditätsplan-3.Jahr'!$C$28&gt;0,'Liquiditätsplan-2.Jahr'!$C$28=0),'Liquiditätsplan-3.Jahr'!$C$28/12,IF('Liquiditätsplan-3.Jahr'!$C$28&gt;0,'Liquiditätsplan-2.Jahr'!L28/'Liquiditätsplan-2.Jahr'!$C$28*'Liquiditätsplan-3.Jahr'!$C$28,0))</f>
        <v>0</v>
      </c>
      <c r="K182" s="1032">
        <f>IF(AND('Liquiditätsplan-3.Jahr'!$C$28&gt;0,'Liquiditätsplan-2.Jahr'!$C$28=0),'Liquiditätsplan-3.Jahr'!$C$28/12,IF('Liquiditätsplan-3.Jahr'!$C$28&gt;0,'Liquiditätsplan-2.Jahr'!M28/'Liquiditätsplan-2.Jahr'!$C$28*'Liquiditätsplan-3.Jahr'!$C$28,0))</f>
        <v>0</v>
      </c>
      <c r="L182" s="1032">
        <f>IF(AND('Liquiditätsplan-3.Jahr'!$C$28&gt;0,'Liquiditätsplan-2.Jahr'!$C$28=0),'Liquiditätsplan-3.Jahr'!$C$28/12,IF('Liquiditätsplan-3.Jahr'!$C$28&gt;0,'Liquiditätsplan-2.Jahr'!N28/'Liquiditätsplan-2.Jahr'!$C$28*'Liquiditätsplan-3.Jahr'!$C$28,0))</f>
        <v>0</v>
      </c>
      <c r="M182" s="1033">
        <f>IF(AND('Liquiditätsplan-3.Jahr'!$C$28&gt;0,'Liquiditätsplan-2.Jahr'!$C$28=0),'Liquiditätsplan-3.Jahr'!$C$28/12,IF('Liquiditätsplan-3.Jahr'!$C$28&gt;0,'Liquiditätsplan-2.Jahr'!O28/'Liquiditätsplan-2.Jahr'!$C$28*'Liquiditätsplan-3.Jahr'!$C$28,0))</f>
        <v>0</v>
      </c>
    </row>
    <row r="183" spans="1:13">
      <c r="A183" s="1031" t="s">
        <v>37</v>
      </c>
      <c r="B183" s="1032">
        <f>IF(AND('Liquiditätsplan-3.Jahr'!$C$29&gt;0,'Liquiditätsplan-2.Jahr'!$C$29=0),'Liquiditätsplan-3.Jahr'!$C$29/12,IF('Liquiditätsplan-3.Jahr'!$C$29&gt;0,'Liquiditätsplan-2.Jahr'!D29/'Liquiditätsplan-2.Jahr'!$C$29*'Liquiditätsplan-3.Jahr'!$C$29,0))</f>
        <v>0</v>
      </c>
      <c r="C183" s="1032">
        <f>IF(AND('Liquiditätsplan-3.Jahr'!$C$29&gt;0,'Liquiditätsplan-2.Jahr'!$C$29=0),'Liquiditätsplan-3.Jahr'!$C$29/12,IF('Liquiditätsplan-3.Jahr'!$C$29&gt;0,'Liquiditätsplan-2.Jahr'!E29/'Liquiditätsplan-2.Jahr'!$C$29*'Liquiditätsplan-3.Jahr'!$C$29,0))</f>
        <v>0</v>
      </c>
      <c r="D183" s="1032">
        <f>IF(AND('Liquiditätsplan-3.Jahr'!$C$29&gt;0,'Liquiditätsplan-2.Jahr'!$C$29=0),'Liquiditätsplan-3.Jahr'!$C$29/12,IF('Liquiditätsplan-3.Jahr'!$C$29&gt;0,'Liquiditätsplan-2.Jahr'!F29/'Liquiditätsplan-2.Jahr'!$C$29*'Liquiditätsplan-3.Jahr'!$C$29,0))</f>
        <v>0</v>
      </c>
      <c r="E183" s="1032">
        <f>IF(AND('Liquiditätsplan-3.Jahr'!$C$29&gt;0,'Liquiditätsplan-2.Jahr'!$C$29=0),'Liquiditätsplan-3.Jahr'!$C$29/12,IF('Liquiditätsplan-3.Jahr'!$C$29&gt;0,'Liquiditätsplan-2.Jahr'!G29/'Liquiditätsplan-2.Jahr'!$C$29*'Liquiditätsplan-3.Jahr'!$C$29,0))</f>
        <v>0</v>
      </c>
      <c r="F183" s="1032">
        <f>IF(AND('Liquiditätsplan-3.Jahr'!$C$29&gt;0,'Liquiditätsplan-2.Jahr'!$C$29=0),'Liquiditätsplan-3.Jahr'!$C$29/12,IF('Liquiditätsplan-3.Jahr'!$C$29&gt;0,'Liquiditätsplan-2.Jahr'!H29/'Liquiditätsplan-2.Jahr'!$C$29*'Liquiditätsplan-3.Jahr'!$C$29,0))</f>
        <v>0</v>
      </c>
      <c r="G183" s="1032">
        <f>IF(AND('Liquiditätsplan-3.Jahr'!$C$29&gt;0,'Liquiditätsplan-2.Jahr'!$C$29=0),'Liquiditätsplan-3.Jahr'!$C$29/12,IF('Liquiditätsplan-3.Jahr'!$C$29&gt;0,'Liquiditätsplan-2.Jahr'!I29/'Liquiditätsplan-2.Jahr'!$C$29*'Liquiditätsplan-3.Jahr'!$C$29,0))</f>
        <v>0</v>
      </c>
      <c r="H183" s="1032">
        <f>IF(AND('Liquiditätsplan-3.Jahr'!$C$29&gt;0,'Liquiditätsplan-2.Jahr'!$C$29=0),'Liquiditätsplan-3.Jahr'!$C$29/12,IF('Liquiditätsplan-3.Jahr'!$C$29&gt;0,'Liquiditätsplan-2.Jahr'!J29/'Liquiditätsplan-2.Jahr'!$C$29*'Liquiditätsplan-3.Jahr'!$C$29,0))</f>
        <v>0</v>
      </c>
      <c r="I183" s="1032">
        <f>IF(AND('Liquiditätsplan-3.Jahr'!$C$29&gt;0,'Liquiditätsplan-2.Jahr'!$C$29=0),'Liquiditätsplan-3.Jahr'!$C$29/12,IF('Liquiditätsplan-3.Jahr'!$C$29&gt;0,'Liquiditätsplan-2.Jahr'!K29/'Liquiditätsplan-2.Jahr'!$C$29*'Liquiditätsplan-3.Jahr'!$C$29,0))</f>
        <v>0</v>
      </c>
      <c r="J183" s="1032">
        <f>IF(AND('Liquiditätsplan-3.Jahr'!$C$29&gt;0,'Liquiditätsplan-2.Jahr'!$C$29=0),'Liquiditätsplan-3.Jahr'!$C$29/12,IF('Liquiditätsplan-3.Jahr'!$C$29&gt;0,'Liquiditätsplan-2.Jahr'!L29/'Liquiditätsplan-2.Jahr'!$C$29*'Liquiditätsplan-3.Jahr'!$C$29,0))</f>
        <v>0</v>
      </c>
      <c r="K183" s="1032">
        <f>IF(AND('Liquiditätsplan-3.Jahr'!$C$29&gt;0,'Liquiditätsplan-2.Jahr'!$C$29=0),'Liquiditätsplan-3.Jahr'!$C$29/12,IF('Liquiditätsplan-3.Jahr'!$C$29&gt;0,'Liquiditätsplan-2.Jahr'!M29/'Liquiditätsplan-2.Jahr'!$C$29*'Liquiditätsplan-3.Jahr'!$C$29,0))</f>
        <v>0</v>
      </c>
      <c r="L183" s="1032">
        <f>IF(AND('Liquiditätsplan-3.Jahr'!$C$29&gt;0,'Liquiditätsplan-2.Jahr'!$C$29=0),'Liquiditätsplan-3.Jahr'!$C$29/12,IF('Liquiditätsplan-3.Jahr'!$C$29&gt;0,'Liquiditätsplan-2.Jahr'!N29/'Liquiditätsplan-2.Jahr'!$C$29*'Liquiditätsplan-3.Jahr'!$C$29,0))</f>
        <v>0</v>
      </c>
      <c r="M183" s="1033">
        <f>IF(AND('Liquiditätsplan-3.Jahr'!$C$29&gt;0,'Liquiditätsplan-2.Jahr'!$C$29=0),'Liquiditätsplan-3.Jahr'!$C$29/12,IF('Liquiditätsplan-3.Jahr'!$C$29&gt;0,'Liquiditätsplan-2.Jahr'!O29/'Liquiditätsplan-2.Jahr'!$C$29*'Liquiditätsplan-3.Jahr'!$C$29,0))</f>
        <v>0</v>
      </c>
    </row>
    <row r="184" spans="1:13">
      <c r="A184" s="1031" t="s">
        <v>393</v>
      </c>
      <c r="B184" s="1032">
        <f>IF(AND('Liquiditätsplan-3.Jahr'!$C$30&gt;0,'Liquiditätsplan-2.Jahr'!$C$30=0),'Liquiditätsplan-3.Jahr'!$C$30/12,IF('Liquiditätsplan-3.Jahr'!$C$30&gt;0,'Liquiditätsplan-2.Jahr'!D30/'Liquiditätsplan-2.Jahr'!$C$30*'Liquiditätsplan-3.Jahr'!$C$30,0))</f>
        <v>0</v>
      </c>
      <c r="C184" s="1032">
        <f>IF(AND('Liquiditätsplan-3.Jahr'!$C$30&gt;0,'Liquiditätsplan-2.Jahr'!$C$30=0),'Liquiditätsplan-3.Jahr'!$C$30/12,IF('Liquiditätsplan-3.Jahr'!$C$30&gt;0,'Liquiditätsplan-2.Jahr'!E30/'Liquiditätsplan-2.Jahr'!$C$30*'Liquiditätsplan-3.Jahr'!$C$30,0))</f>
        <v>0</v>
      </c>
      <c r="D184" s="1032">
        <f>IF(AND('Liquiditätsplan-3.Jahr'!$C$30&gt;0,'Liquiditätsplan-2.Jahr'!$C$30=0),'Liquiditätsplan-3.Jahr'!$C$30/12,IF('Liquiditätsplan-3.Jahr'!$C$30&gt;0,'Liquiditätsplan-2.Jahr'!F30/'Liquiditätsplan-2.Jahr'!$C$30*'Liquiditätsplan-3.Jahr'!$C$30,0))</f>
        <v>0</v>
      </c>
      <c r="E184" s="1032">
        <f>IF(AND('Liquiditätsplan-3.Jahr'!$C$30&gt;0,'Liquiditätsplan-2.Jahr'!$C$30=0),'Liquiditätsplan-3.Jahr'!$C$30/12,IF('Liquiditätsplan-3.Jahr'!$C$30&gt;0,'Liquiditätsplan-2.Jahr'!G30/'Liquiditätsplan-2.Jahr'!$C$30*'Liquiditätsplan-3.Jahr'!$C$30,0))</f>
        <v>0</v>
      </c>
      <c r="F184" s="1032">
        <f>IF(AND('Liquiditätsplan-3.Jahr'!$C$30&gt;0,'Liquiditätsplan-2.Jahr'!$C$30=0),'Liquiditätsplan-3.Jahr'!$C$30/12,IF('Liquiditätsplan-3.Jahr'!$C$30&gt;0,'Liquiditätsplan-2.Jahr'!H30/'Liquiditätsplan-2.Jahr'!$C$30*'Liquiditätsplan-3.Jahr'!$C$30,0))</f>
        <v>0</v>
      </c>
      <c r="G184" s="1032">
        <f>IF(AND('Liquiditätsplan-3.Jahr'!$C$30&gt;0,'Liquiditätsplan-2.Jahr'!$C$30=0),'Liquiditätsplan-3.Jahr'!$C$30/12,IF('Liquiditätsplan-3.Jahr'!$C$30&gt;0,'Liquiditätsplan-2.Jahr'!I30/'Liquiditätsplan-2.Jahr'!$C$30*'Liquiditätsplan-3.Jahr'!$C$30,0))</f>
        <v>0</v>
      </c>
      <c r="H184" s="1032">
        <f>IF(AND('Liquiditätsplan-3.Jahr'!$C$30&gt;0,'Liquiditätsplan-2.Jahr'!$C$30=0),'Liquiditätsplan-3.Jahr'!$C$30/12,IF('Liquiditätsplan-3.Jahr'!$C$30&gt;0,'Liquiditätsplan-2.Jahr'!J30/'Liquiditätsplan-2.Jahr'!$C$30*'Liquiditätsplan-3.Jahr'!$C$30,0))</f>
        <v>0</v>
      </c>
      <c r="I184" s="1032">
        <f>IF(AND('Liquiditätsplan-3.Jahr'!$C$30&gt;0,'Liquiditätsplan-2.Jahr'!$C$30=0),'Liquiditätsplan-3.Jahr'!$C$30/12,IF('Liquiditätsplan-3.Jahr'!$C$30&gt;0,'Liquiditätsplan-2.Jahr'!K30/'Liquiditätsplan-2.Jahr'!$C$30*'Liquiditätsplan-3.Jahr'!$C$30,0))</f>
        <v>0</v>
      </c>
      <c r="J184" s="1032">
        <f>IF(AND('Liquiditätsplan-3.Jahr'!$C$30&gt;0,'Liquiditätsplan-2.Jahr'!$C$30=0),'Liquiditätsplan-3.Jahr'!$C$30/12,IF('Liquiditätsplan-3.Jahr'!$C$30&gt;0,'Liquiditätsplan-2.Jahr'!L30/'Liquiditätsplan-2.Jahr'!$C$30*'Liquiditätsplan-3.Jahr'!$C$30,0))</f>
        <v>0</v>
      </c>
      <c r="K184" s="1032">
        <f>IF(AND('Liquiditätsplan-3.Jahr'!$C$30&gt;0,'Liquiditätsplan-2.Jahr'!$C$30=0),'Liquiditätsplan-3.Jahr'!$C$30/12,IF('Liquiditätsplan-3.Jahr'!$C$30&gt;0,'Liquiditätsplan-2.Jahr'!M30/'Liquiditätsplan-2.Jahr'!$C$30*'Liquiditätsplan-3.Jahr'!$C$30,0))</f>
        <v>0</v>
      </c>
      <c r="L184" s="1032">
        <f>IF(AND('Liquiditätsplan-3.Jahr'!$C$30&gt;0,'Liquiditätsplan-2.Jahr'!$C$30=0),'Liquiditätsplan-3.Jahr'!$C$30/12,IF('Liquiditätsplan-3.Jahr'!$C$30&gt;0,'Liquiditätsplan-2.Jahr'!N30/'Liquiditätsplan-2.Jahr'!$C$30*'Liquiditätsplan-3.Jahr'!$C$30,0))</f>
        <v>0</v>
      </c>
      <c r="M184" s="1033">
        <f>IF(AND('Liquiditätsplan-3.Jahr'!$C$30&gt;0,'Liquiditätsplan-2.Jahr'!$C$30=0),'Liquiditätsplan-3.Jahr'!$C$30/12,IF('Liquiditätsplan-3.Jahr'!$C$30&gt;0,'Liquiditätsplan-2.Jahr'!O30/'Liquiditätsplan-2.Jahr'!$C$30*'Liquiditätsplan-3.Jahr'!$C$30,0))</f>
        <v>0</v>
      </c>
    </row>
    <row r="185" spans="1:13">
      <c r="A185" s="1031" t="s">
        <v>406</v>
      </c>
      <c r="B185" s="1032">
        <f>IF(AND('Liquiditätsplan-3.Jahr'!$C$31&gt;0,'Liquiditätsplan-2.Jahr'!$C$31=0),'Liquiditätsplan-3.Jahr'!$C$31/12,IF('Liquiditätsplan-3.Jahr'!$C$31&gt;0,'Liquiditätsplan-2.Jahr'!D31/'Liquiditätsplan-2.Jahr'!$C$31*'Liquiditätsplan-3.Jahr'!$C$31,0))</f>
        <v>0</v>
      </c>
      <c r="C185" s="1032">
        <f>IF(AND('Liquiditätsplan-3.Jahr'!$C$31&gt;0,'Liquiditätsplan-2.Jahr'!$C$31=0),'Liquiditätsplan-3.Jahr'!$C$31/12,IF('Liquiditätsplan-3.Jahr'!$C$31&gt;0,'Liquiditätsplan-2.Jahr'!E31/'Liquiditätsplan-2.Jahr'!$C$31*'Liquiditätsplan-3.Jahr'!$C$31,0))</f>
        <v>0</v>
      </c>
      <c r="D185" s="1032">
        <f>IF(AND('Liquiditätsplan-3.Jahr'!$C$31&gt;0,'Liquiditätsplan-2.Jahr'!$C$31=0),'Liquiditätsplan-3.Jahr'!$C$31/12,IF('Liquiditätsplan-3.Jahr'!$C$31&gt;0,'Liquiditätsplan-2.Jahr'!F31/'Liquiditätsplan-2.Jahr'!$C$31*'Liquiditätsplan-3.Jahr'!$C$31,0))</f>
        <v>0</v>
      </c>
      <c r="E185" s="1032">
        <f>IF(AND('Liquiditätsplan-3.Jahr'!$C$31&gt;0,'Liquiditätsplan-2.Jahr'!$C$31=0),'Liquiditätsplan-3.Jahr'!$C$31/12,IF('Liquiditätsplan-3.Jahr'!$C$31&gt;0,'Liquiditätsplan-2.Jahr'!G31/'Liquiditätsplan-2.Jahr'!$C$31*'Liquiditätsplan-3.Jahr'!$C$31,0))</f>
        <v>0</v>
      </c>
      <c r="F185" s="1032">
        <f>IF(AND('Liquiditätsplan-3.Jahr'!$C$31&gt;0,'Liquiditätsplan-2.Jahr'!$C$31=0),'Liquiditätsplan-3.Jahr'!$C$31/12,IF('Liquiditätsplan-3.Jahr'!$C$31&gt;0,'Liquiditätsplan-2.Jahr'!H31/'Liquiditätsplan-2.Jahr'!$C$31*'Liquiditätsplan-3.Jahr'!$C$31,0))</f>
        <v>0</v>
      </c>
      <c r="G185" s="1032">
        <f>IF(AND('Liquiditätsplan-3.Jahr'!$C$31&gt;0,'Liquiditätsplan-2.Jahr'!$C$31=0),'Liquiditätsplan-3.Jahr'!$C$31/12,IF('Liquiditätsplan-3.Jahr'!$C$31&gt;0,'Liquiditätsplan-2.Jahr'!I31/'Liquiditätsplan-2.Jahr'!$C$31*'Liquiditätsplan-3.Jahr'!$C$31,0))</f>
        <v>0</v>
      </c>
      <c r="H185" s="1032">
        <f>IF(AND('Liquiditätsplan-3.Jahr'!$C$31&gt;0,'Liquiditätsplan-2.Jahr'!$C$31=0),'Liquiditätsplan-3.Jahr'!$C$31/12,IF('Liquiditätsplan-3.Jahr'!$C$31&gt;0,'Liquiditätsplan-2.Jahr'!J31/'Liquiditätsplan-2.Jahr'!$C$31*'Liquiditätsplan-3.Jahr'!$C$31,0))</f>
        <v>0</v>
      </c>
      <c r="I185" s="1032">
        <f>IF(AND('Liquiditätsplan-3.Jahr'!$C$31&gt;0,'Liquiditätsplan-2.Jahr'!$C$31=0),'Liquiditätsplan-3.Jahr'!$C$31/12,IF('Liquiditätsplan-3.Jahr'!$C$31&gt;0,'Liquiditätsplan-2.Jahr'!K31/'Liquiditätsplan-2.Jahr'!$C$31*'Liquiditätsplan-3.Jahr'!$C$31,0))</f>
        <v>0</v>
      </c>
      <c r="J185" s="1032">
        <f>IF(AND('Liquiditätsplan-3.Jahr'!$C$31&gt;0,'Liquiditätsplan-2.Jahr'!$C$31=0),'Liquiditätsplan-3.Jahr'!$C$31/12,IF('Liquiditätsplan-3.Jahr'!$C$31&gt;0,'Liquiditätsplan-2.Jahr'!L31/'Liquiditätsplan-2.Jahr'!$C$31*'Liquiditätsplan-3.Jahr'!$C$31,0))</f>
        <v>0</v>
      </c>
      <c r="K185" s="1032">
        <f>IF(AND('Liquiditätsplan-3.Jahr'!$C$31&gt;0,'Liquiditätsplan-2.Jahr'!$C$31=0),'Liquiditätsplan-3.Jahr'!$C$31/12,IF('Liquiditätsplan-3.Jahr'!$C$31&gt;0,'Liquiditätsplan-2.Jahr'!M31/'Liquiditätsplan-2.Jahr'!$C$31*'Liquiditätsplan-3.Jahr'!$C$31,0))</f>
        <v>0</v>
      </c>
      <c r="L185" s="1032">
        <f>IF(AND('Liquiditätsplan-3.Jahr'!$C$31&gt;0,'Liquiditätsplan-2.Jahr'!$C$31=0),'Liquiditätsplan-3.Jahr'!$C$31/12,IF('Liquiditätsplan-3.Jahr'!$C$31&gt;0,'Liquiditätsplan-2.Jahr'!N31/'Liquiditätsplan-2.Jahr'!$C$31*'Liquiditätsplan-3.Jahr'!$C$31,0))</f>
        <v>0</v>
      </c>
      <c r="M185" s="1033">
        <f>IF(AND('Liquiditätsplan-3.Jahr'!$C$31&gt;0,'Liquiditätsplan-2.Jahr'!$C$31=0),'Liquiditätsplan-3.Jahr'!$C$31/12,IF('Liquiditätsplan-3.Jahr'!$C$31&gt;0,'Liquiditätsplan-2.Jahr'!O31/'Liquiditätsplan-2.Jahr'!$C$31*'Liquiditätsplan-3.Jahr'!$C$31,0))</f>
        <v>0</v>
      </c>
    </row>
    <row r="186" spans="1:13">
      <c r="A186" s="1031" t="s">
        <v>400</v>
      </c>
      <c r="B186" s="1032">
        <f>IF(AND('Liquiditätsplan-3.Jahr'!$C$32&gt;0,'Liquiditätsplan-2.Jahr'!$C$32=0),'Liquiditätsplan-3.Jahr'!$C$32/12,IF('Liquiditätsplan-3.Jahr'!$C$32&gt;0,'Liquiditätsplan-2.Jahr'!D32/'Liquiditätsplan-2.Jahr'!$C$32*'Liquiditätsplan-3.Jahr'!$C$32,0))</f>
        <v>0</v>
      </c>
      <c r="C186" s="1032">
        <f>IF(AND('Liquiditätsplan-3.Jahr'!$C$32&gt;0,'Liquiditätsplan-2.Jahr'!$C$32=0),'Liquiditätsplan-3.Jahr'!$C$32/12,IF('Liquiditätsplan-3.Jahr'!$C$32&gt;0,'Liquiditätsplan-2.Jahr'!E32/'Liquiditätsplan-2.Jahr'!$C$32*'Liquiditätsplan-3.Jahr'!$C$32,0))</f>
        <v>0</v>
      </c>
      <c r="D186" s="1032">
        <f>IF(AND('Liquiditätsplan-3.Jahr'!$C$32&gt;0,'Liquiditätsplan-2.Jahr'!$C$32=0),'Liquiditätsplan-3.Jahr'!$C$32/12,IF('Liquiditätsplan-3.Jahr'!$C$32&gt;0,'Liquiditätsplan-2.Jahr'!F32/'Liquiditätsplan-2.Jahr'!$C$32*'Liquiditätsplan-3.Jahr'!$C$32,0))</f>
        <v>0</v>
      </c>
      <c r="E186" s="1032">
        <f>IF(AND('Liquiditätsplan-3.Jahr'!$C$32&gt;0,'Liquiditätsplan-2.Jahr'!$C$32=0),'Liquiditätsplan-3.Jahr'!$C$32/12,IF('Liquiditätsplan-3.Jahr'!$C$32&gt;0,'Liquiditätsplan-2.Jahr'!G32/'Liquiditätsplan-2.Jahr'!$C$32*'Liquiditätsplan-3.Jahr'!$C$32,0))</f>
        <v>0</v>
      </c>
      <c r="F186" s="1032">
        <f>IF(AND('Liquiditätsplan-3.Jahr'!$C$32&gt;0,'Liquiditätsplan-2.Jahr'!$C$32=0),'Liquiditätsplan-3.Jahr'!$C$32/12,IF('Liquiditätsplan-3.Jahr'!$C$32&gt;0,'Liquiditätsplan-2.Jahr'!H32/'Liquiditätsplan-2.Jahr'!$C$32*'Liquiditätsplan-3.Jahr'!$C$32,0))</f>
        <v>0</v>
      </c>
      <c r="G186" s="1032">
        <f>IF(AND('Liquiditätsplan-3.Jahr'!$C$32&gt;0,'Liquiditätsplan-2.Jahr'!$C$32=0),'Liquiditätsplan-3.Jahr'!$C$32/12,IF('Liquiditätsplan-3.Jahr'!$C$32&gt;0,'Liquiditätsplan-2.Jahr'!I32/'Liquiditätsplan-2.Jahr'!$C$32*'Liquiditätsplan-3.Jahr'!$C$32,0))</f>
        <v>0</v>
      </c>
      <c r="H186" s="1032">
        <f>IF(AND('Liquiditätsplan-3.Jahr'!$C$32&gt;0,'Liquiditätsplan-2.Jahr'!$C$32=0),'Liquiditätsplan-3.Jahr'!$C$32/12,IF('Liquiditätsplan-3.Jahr'!$C$32&gt;0,'Liquiditätsplan-2.Jahr'!J32/'Liquiditätsplan-2.Jahr'!$C$32*'Liquiditätsplan-3.Jahr'!$C$32,0))</f>
        <v>0</v>
      </c>
      <c r="I186" s="1032">
        <f>IF(AND('Liquiditätsplan-3.Jahr'!$C$32&gt;0,'Liquiditätsplan-2.Jahr'!$C$32=0),'Liquiditätsplan-3.Jahr'!$C$32/12,IF('Liquiditätsplan-3.Jahr'!$C$32&gt;0,'Liquiditätsplan-2.Jahr'!K32/'Liquiditätsplan-2.Jahr'!$C$32*'Liquiditätsplan-3.Jahr'!$C$32,0))</f>
        <v>0</v>
      </c>
      <c r="J186" s="1032">
        <f>IF(AND('Liquiditätsplan-3.Jahr'!$C$32&gt;0,'Liquiditätsplan-2.Jahr'!$C$32=0),'Liquiditätsplan-3.Jahr'!$C$32/12,IF('Liquiditätsplan-3.Jahr'!$C$32&gt;0,'Liquiditätsplan-2.Jahr'!L32/'Liquiditätsplan-2.Jahr'!$C$32*'Liquiditätsplan-3.Jahr'!$C$32,0))</f>
        <v>0</v>
      </c>
      <c r="K186" s="1032">
        <f>IF(AND('Liquiditätsplan-3.Jahr'!$C$32&gt;0,'Liquiditätsplan-2.Jahr'!$C$32=0),'Liquiditätsplan-3.Jahr'!$C$32/12,IF('Liquiditätsplan-3.Jahr'!$C$32&gt;0,'Liquiditätsplan-2.Jahr'!M32/'Liquiditätsplan-2.Jahr'!$C$32*'Liquiditätsplan-3.Jahr'!$C$32,0))</f>
        <v>0</v>
      </c>
      <c r="L186" s="1032">
        <f>IF(AND('Liquiditätsplan-3.Jahr'!$C$32&gt;0,'Liquiditätsplan-2.Jahr'!$C$32=0),'Liquiditätsplan-3.Jahr'!$C$32/12,IF('Liquiditätsplan-3.Jahr'!$C$32&gt;0,'Liquiditätsplan-2.Jahr'!N32/'Liquiditätsplan-2.Jahr'!$C$32*'Liquiditätsplan-3.Jahr'!$C$32,0))</f>
        <v>0</v>
      </c>
      <c r="M186" s="1033">
        <f>IF(AND('Liquiditätsplan-3.Jahr'!$C$32&gt;0,'Liquiditätsplan-2.Jahr'!$C$32=0),'Liquiditätsplan-3.Jahr'!$C$32/12,IF('Liquiditätsplan-3.Jahr'!$C$32&gt;0,'Liquiditätsplan-2.Jahr'!O32/'Liquiditätsplan-2.Jahr'!$C$32*'Liquiditätsplan-3.Jahr'!$C$32,0))</f>
        <v>0</v>
      </c>
    </row>
    <row r="187" spans="1:13">
      <c r="A187" s="1031" t="s">
        <v>401</v>
      </c>
      <c r="B187" s="1032">
        <f>IF(AND('Liquiditätsplan-3.Jahr'!$C$33&gt;0,'Liquiditätsplan-2.Jahr'!$C$33=0),'Liquiditätsplan-3.Jahr'!$C$33/12,IF('Liquiditätsplan-3.Jahr'!$C$33&gt;0,'Liquiditätsplan-2.Jahr'!D33/'Liquiditätsplan-2.Jahr'!$C$33*'Liquiditätsplan-3.Jahr'!$C$33,0))</f>
        <v>0</v>
      </c>
      <c r="C187" s="1032">
        <f>IF(AND('Liquiditätsplan-3.Jahr'!$C$33&gt;0,'Liquiditätsplan-2.Jahr'!$C$33=0),'Liquiditätsplan-3.Jahr'!$C$33/12,IF('Liquiditätsplan-3.Jahr'!$C$33&gt;0,'Liquiditätsplan-2.Jahr'!E33/'Liquiditätsplan-2.Jahr'!$C$33*'Liquiditätsplan-3.Jahr'!$C$33,0))</f>
        <v>0</v>
      </c>
      <c r="D187" s="1032">
        <f>IF(AND('Liquiditätsplan-3.Jahr'!$C$33&gt;0,'Liquiditätsplan-2.Jahr'!$C$33=0),'Liquiditätsplan-3.Jahr'!$C$33/12,IF('Liquiditätsplan-3.Jahr'!$C$33&gt;0,'Liquiditätsplan-2.Jahr'!F33/'Liquiditätsplan-2.Jahr'!$C$33*'Liquiditätsplan-3.Jahr'!$C$33,0))</f>
        <v>0</v>
      </c>
      <c r="E187" s="1032">
        <f>IF(AND('Liquiditätsplan-3.Jahr'!$C$33&gt;0,'Liquiditätsplan-2.Jahr'!$C$33=0),'Liquiditätsplan-3.Jahr'!$C$33/12,IF('Liquiditätsplan-3.Jahr'!$C$33&gt;0,'Liquiditätsplan-2.Jahr'!G33/'Liquiditätsplan-2.Jahr'!$C$33*'Liquiditätsplan-3.Jahr'!$C$33,0))</f>
        <v>0</v>
      </c>
      <c r="F187" s="1032">
        <f>IF(AND('Liquiditätsplan-3.Jahr'!$C$33&gt;0,'Liquiditätsplan-2.Jahr'!$C$33=0),'Liquiditätsplan-3.Jahr'!$C$33/12,IF('Liquiditätsplan-3.Jahr'!$C$33&gt;0,'Liquiditätsplan-2.Jahr'!H33/'Liquiditätsplan-2.Jahr'!$C$33*'Liquiditätsplan-3.Jahr'!$C$33,0))</f>
        <v>0</v>
      </c>
      <c r="G187" s="1032">
        <f>IF(AND('Liquiditätsplan-3.Jahr'!$C$33&gt;0,'Liquiditätsplan-2.Jahr'!$C$33=0),'Liquiditätsplan-3.Jahr'!$C$33/12,IF('Liquiditätsplan-3.Jahr'!$C$33&gt;0,'Liquiditätsplan-2.Jahr'!I33/'Liquiditätsplan-2.Jahr'!$C$33*'Liquiditätsplan-3.Jahr'!$C$33,0))</f>
        <v>0</v>
      </c>
      <c r="H187" s="1032">
        <f>IF(AND('Liquiditätsplan-3.Jahr'!$C$33&gt;0,'Liquiditätsplan-2.Jahr'!$C$33=0),'Liquiditätsplan-3.Jahr'!$C$33/12,IF('Liquiditätsplan-3.Jahr'!$C$33&gt;0,'Liquiditätsplan-2.Jahr'!J33/'Liquiditätsplan-2.Jahr'!$C$33*'Liquiditätsplan-3.Jahr'!$C$33,0))</f>
        <v>0</v>
      </c>
      <c r="I187" s="1032">
        <f>IF(AND('Liquiditätsplan-3.Jahr'!$C$33&gt;0,'Liquiditätsplan-2.Jahr'!$C$33=0),'Liquiditätsplan-3.Jahr'!$C$33/12,IF('Liquiditätsplan-3.Jahr'!$C$33&gt;0,'Liquiditätsplan-2.Jahr'!K33/'Liquiditätsplan-2.Jahr'!$C$33*'Liquiditätsplan-3.Jahr'!$C$33,0))</f>
        <v>0</v>
      </c>
      <c r="J187" s="1032">
        <f>IF(AND('Liquiditätsplan-3.Jahr'!$C$33&gt;0,'Liquiditätsplan-2.Jahr'!$C$33=0),'Liquiditätsplan-3.Jahr'!$C$33/12,IF('Liquiditätsplan-3.Jahr'!$C$33&gt;0,'Liquiditätsplan-2.Jahr'!L33/'Liquiditätsplan-2.Jahr'!$C$33*'Liquiditätsplan-3.Jahr'!$C$33,0))</f>
        <v>0</v>
      </c>
      <c r="K187" s="1032">
        <f>IF(AND('Liquiditätsplan-3.Jahr'!$C$33&gt;0,'Liquiditätsplan-2.Jahr'!$C$33=0),'Liquiditätsplan-3.Jahr'!$C$33/12,IF('Liquiditätsplan-3.Jahr'!$C$33&gt;0,'Liquiditätsplan-2.Jahr'!M33/'Liquiditätsplan-2.Jahr'!$C$33*'Liquiditätsplan-3.Jahr'!$C$33,0))</f>
        <v>0</v>
      </c>
      <c r="L187" s="1032">
        <f>IF(AND('Liquiditätsplan-3.Jahr'!$C$33&gt;0,'Liquiditätsplan-2.Jahr'!$C$33=0),'Liquiditätsplan-3.Jahr'!$C$33/12,IF('Liquiditätsplan-3.Jahr'!$C$33&gt;0,'Liquiditätsplan-2.Jahr'!N33/'Liquiditätsplan-2.Jahr'!$C$33*'Liquiditätsplan-3.Jahr'!$C$33,0))</f>
        <v>0</v>
      </c>
      <c r="M187" s="1033">
        <f>IF(AND('Liquiditätsplan-3.Jahr'!$C$33&gt;0,'Liquiditätsplan-2.Jahr'!$C$33=0),'Liquiditätsplan-3.Jahr'!$C$33/12,IF('Liquiditätsplan-3.Jahr'!$C$33&gt;0,'Liquiditätsplan-2.Jahr'!O33/'Liquiditätsplan-2.Jahr'!$C$33*'Liquiditätsplan-3.Jahr'!$C$33,0))</f>
        <v>0</v>
      </c>
    </row>
    <row r="188" spans="1:13">
      <c r="A188" s="1031" t="s">
        <v>395</v>
      </c>
      <c r="B188" s="1032">
        <f>IF(AND('Liquiditätsplan-3.Jahr'!$C$34&gt;0,'Liquiditätsplan-2.Jahr'!$C$34=0),'Liquiditätsplan-3.Jahr'!$C$34/12,IF('Liquiditätsplan-3.Jahr'!$C$34&gt;0,'Liquiditätsplan-2.Jahr'!D34/'Liquiditätsplan-2.Jahr'!$C$34*'Liquiditätsplan-3.Jahr'!$C$34,0))</f>
        <v>0</v>
      </c>
      <c r="C188" s="1032">
        <f>IF(AND('Liquiditätsplan-3.Jahr'!$C$34&gt;0,'Liquiditätsplan-2.Jahr'!$C$34=0),'Liquiditätsplan-3.Jahr'!$C$34/12,IF('Liquiditätsplan-3.Jahr'!$C$34&gt;0,'Liquiditätsplan-2.Jahr'!E34/'Liquiditätsplan-2.Jahr'!$C$34*'Liquiditätsplan-3.Jahr'!$C$34,0))</f>
        <v>0</v>
      </c>
      <c r="D188" s="1032">
        <f>IF(AND('Liquiditätsplan-3.Jahr'!$C$34&gt;0,'Liquiditätsplan-2.Jahr'!$C$34=0),'Liquiditätsplan-3.Jahr'!$C$34/12,IF('Liquiditätsplan-3.Jahr'!$C$34&gt;0,'Liquiditätsplan-2.Jahr'!F34/'Liquiditätsplan-2.Jahr'!$C$34*'Liquiditätsplan-3.Jahr'!$C$34,0))</f>
        <v>0</v>
      </c>
      <c r="E188" s="1032">
        <f>IF(AND('Liquiditätsplan-3.Jahr'!$C$34&gt;0,'Liquiditätsplan-2.Jahr'!$C$34=0),'Liquiditätsplan-3.Jahr'!$C$34/12,IF('Liquiditätsplan-3.Jahr'!$C$34&gt;0,'Liquiditätsplan-2.Jahr'!G34/'Liquiditätsplan-2.Jahr'!$C$34*'Liquiditätsplan-3.Jahr'!$C$34,0))</f>
        <v>0</v>
      </c>
      <c r="F188" s="1032">
        <f>IF(AND('Liquiditätsplan-3.Jahr'!$C$34&gt;0,'Liquiditätsplan-2.Jahr'!$C$34=0),'Liquiditätsplan-3.Jahr'!$C$34/12,IF('Liquiditätsplan-3.Jahr'!$C$34&gt;0,'Liquiditätsplan-2.Jahr'!H34/'Liquiditätsplan-2.Jahr'!$C$34*'Liquiditätsplan-3.Jahr'!$C$34,0))</f>
        <v>0</v>
      </c>
      <c r="G188" s="1032">
        <f>IF(AND('Liquiditätsplan-3.Jahr'!$C$34&gt;0,'Liquiditätsplan-2.Jahr'!$C$34=0),'Liquiditätsplan-3.Jahr'!$C$34/12,IF('Liquiditätsplan-3.Jahr'!$C$34&gt;0,'Liquiditätsplan-2.Jahr'!I34/'Liquiditätsplan-2.Jahr'!$C$34*'Liquiditätsplan-3.Jahr'!$C$34,0))</f>
        <v>0</v>
      </c>
      <c r="H188" s="1032">
        <f>IF(AND('Liquiditätsplan-3.Jahr'!$C$34&gt;0,'Liquiditätsplan-2.Jahr'!$C$34=0),'Liquiditätsplan-3.Jahr'!$C$34/12,IF('Liquiditätsplan-3.Jahr'!$C$34&gt;0,'Liquiditätsplan-2.Jahr'!J34/'Liquiditätsplan-2.Jahr'!$C$34*'Liquiditätsplan-3.Jahr'!$C$34,0))</f>
        <v>0</v>
      </c>
      <c r="I188" s="1032">
        <f>IF(AND('Liquiditätsplan-3.Jahr'!$C$34&gt;0,'Liquiditätsplan-2.Jahr'!$C$34=0),'Liquiditätsplan-3.Jahr'!$C$34/12,IF('Liquiditätsplan-3.Jahr'!$C$34&gt;0,'Liquiditätsplan-2.Jahr'!K34/'Liquiditätsplan-2.Jahr'!$C$34*'Liquiditätsplan-3.Jahr'!$C$34,0))</f>
        <v>0</v>
      </c>
      <c r="J188" s="1032">
        <f>IF(AND('Liquiditätsplan-3.Jahr'!$C$34&gt;0,'Liquiditätsplan-2.Jahr'!$C$34=0),'Liquiditätsplan-3.Jahr'!$C$34/12,IF('Liquiditätsplan-3.Jahr'!$C$34&gt;0,'Liquiditätsplan-2.Jahr'!L34/'Liquiditätsplan-2.Jahr'!$C$34*'Liquiditätsplan-3.Jahr'!$C$34,0))</f>
        <v>0</v>
      </c>
      <c r="K188" s="1032">
        <f>IF(AND('Liquiditätsplan-3.Jahr'!$C$34&gt;0,'Liquiditätsplan-2.Jahr'!$C$34=0),'Liquiditätsplan-3.Jahr'!$C$34/12,IF('Liquiditätsplan-3.Jahr'!$C$34&gt;0,'Liquiditätsplan-2.Jahr'!M34/'Liquiditätsplan-2.Jahr'!$C$34*'Liquiditätsplan-3.Jahr'!$C$34,0))</f>
        <v>0</v>
      </c>
      <c r="L188" s="1032">
        <f>IF(AND('Liquiditätsplan-3.Jahr'!$C$34&gt;0,'Liquiditätsplan-2.Jahr'!$C$34=0),'Liquiditätsplan-3.Jahr'!$C$34/12,IF('Liquiditätsplan-3.Jahr'!$C$34&gt;0,'Liquiditätsplan-2.Jahr'!N34/'Liquiditätsplan-2.Jahr'!$C$34*'Liquiditätsplan-3.Jahr'!$C$34,0))</f>
        <v>0</v>
      </c>
      <c r="M188" s="1033">
        <f>IF(AND('Liquiditätsplan-3.Jahr'!$C$34&gt;0,'Liquiditätsplan-2.Jahr'!$C$34=0),'Liquiditätsplan-3.Jahr'!$C$34/12,IF('Liquiditätsplan-3.Jahr'!$C$34&gt;0,'Liquiditätsplan-2.Jahr'!O34/'Liquiditätsplan-2.Jahr'!$C$34*'Liquiditätsplan-3.Jahr'!$C$34,0))</f>
        <v>0</v>
      </c>
    </row>
    <row r="189" spans="1:13">
      <c r="A189" s="1031" t="s">
        <v>394</v>
      </c>
      <c r="B189" s="1032">
        <f>IF(AND('Liquiditätsplan-3.Jahr'!$C$35&gt;0,'Liquiditätsplan-2.Jahr'!$C$35=0),'Liquiditätsplan-3.Jahr'!$C$35/12,IF('Liquiditätsplan-3.Jahr'!$C$35&gt;0,'Liquiditätsplan-2.Jahr'!D35/'Liquiditätsplan-2.Jahr'!$C$35*'Liquiditätsplan-3.Jahr'!$C$35,0))</f>
        <v>0</v>
      </c>
      <c r="C189" s="1032">
        <f>IF(AND('Liquiditätsplan-3.Jahr'!$C$35&gt;0,'Liquiditätsplan-2.Jahr'!$C$35=0),'Liquiditätsplan-3.Jahr'!$C$35/12,IF('Liquiditätsplan-3.Jahr'!$C$35&gt;0,'Liquiditätsplan-2.Jahr'!E35/'Liquiditätsplan-2.Jahr'!$C$35*'Liquiditätsplan-3.Jahr'!$C$35,0))</f>
        <v>0</v>
      </c>
      <c r="D189" s="1032">
        <f>IF(AND('Liquiditätsplan-3.Jahr'!$C$35&gt;0,'Liquiditätsplan-2.Jahr'!$C$35=0),'Liquiditätsplan-3.Jahr'!$C$35/12,IF('Liquiditätsplan-3.Jahr'!$C$35&gt;0,'Liquiditätsplan-2.Jahr'!F35/'Liquiditätsplan-2.Jahr'!$C$35*'Liquiditätsplan-3.Jahr'!$C$35,0))</f>
        <v>0</v>
      </c>
      <c r="E189" s="1032">
        <f>IF(AND('Liquiditätsplan-3.Jahr'!$C$35&gt;0,'Liquiditätsplan-2.Jahr'!$C$35=0),'Liquiditätsplan-3.Jahr'!$C$35/12,IF('Liquiditätsplan-3.Jahr'!$C$35&gt;0,'Liquiditätsplan-2.Jahr'!G35/'Liquiditätsplan-2.Jahr'!$C$35*'Liquiditätsplan-3.Jahr'!$C$35,0))</f>
        <v>0</v>
      </c>
      <c r="F189" s="1032">
        <f>IF(AND('Liquiditätsplan-3.Jahr'!$C$35&gt;0,'Liquiditätsplan-2.Jahr'!$C$35=0),'Liquiditätsplan-3.Jahr'!$C$35/12,IF('Liquiditätsplan-3.Jahr'!$C$35&gt;0,'Liquiditätsplan-2.Jahr'!H35/'Liquiditätsplan-2.Jahr'!$C$35*'Liquiditätsplan-3.Jahr'!$C$35,0))</f>
        <v>0</v>
      </c>
      <c r="G189" s="1032">
        <f>IF(AND('Liquiditätsplan-3.Jahr'!$C$35&gt;0,'Liquiditätsplan-2.Jahr'!$C$35=0),'Liquiditätsplan-3.Jahr'!$C$35/12,IF('Liquiditätsplan-3.Jahr'!$C$35&gt;0,'Liquiditätsplan-2.Jahr'!I35/'Liquiditätsplan-2.Jahr'!$C$35*'Liquiditätsplan-3.Jahr'!$C$35,0))</f>
        <v>0</v>
      </c>
      <c r="H189" s="1032">
        <f>IF(AND('Liquiditätsplan-3.Jahr'!$C$35&gt;0,'Liquiditätsplan-2.Jahr'!$C$35=0),'Liquiditätsplan-3.Jahr'!$C$35/12,IF('Liquiditätsplan-3.Jahr'!$C$35&gt;0,'Liquiditätsplan-2.Jahr'!J35/'Liquiditätsplan-2.Jahr'!$C$35*'Liquiditätsplan-3.Jahr'!$C$35,0))</f>
        <v>0</v>
      </c>
      <c r="I189" s="1032">
        <f>IF(AND('Liquiditätsplan-3.Jahr'!$C$35&gt;0,'Liquiditätsplan-2.Jahr'!$C$35=0),'Liquiditätsplan-3.Jahr'!$C$35/12,IF('Liquiditätsplan-3.Jahr'!$C$35&gt;0,'Liquiditätsplan-2.Jahr'!K35/'Liquiditätsplan-2.Jahr'!$C$35*'Liquiditätsplan-3.Jahr'!$C$35,0))</f>
        <v>0</v>
      </c>
      <c r="J189" s="1032">
        <f>IF(AND('Liquiditätsplan-3.Jahr'!$C$35&gt;0,'Liquiditätsplan-2.Jahr'!$C$35=0),'Liquiditätsplan-3.Jahr'!$C$35/12,IF('Liquiditätsplan-3.Jahr'!$C$35&gt;0,'Liquiditätsplan-2.Jahr'!L35/'Liquiditätsplan-2.Jahr'!$C$35*'Liquiditätsplan-3.Jahr'!$C$35,0))</f>
        <v>0</v>
      </c>
      <c r="K189" s="1032">
        <f>IF(AND('Liquiditätsplan-3.Jahr'!$C$35&gt;0,'Liquiditätsplan-2.Jahr'!$C$35=0),'Liquiditätsplan-3.Jahr'!$C$35/12,IF('Liquiditätsplan-3.Jahr'!$C$35&gt;0,'Liquiditätsplan-2.Jahr'!M35/'Liquiditätsplan-2.Jahr'!$C$35*'Liquiditätsplan-3.Jahr'!$C$35,0))</f>
        <v>0</v>
      </c>
      <c r="L189" s="1032">
        <f>IF(AND('Liquiditätsplan-3.Jahr'!$C$35&gt;0,'Liquiditätsplan-2.Jahr'!$C$35=0),'Liquiditätsplan-3.Jahr'!$C$35/12,IF('Liquiditätsplan-3.Jahr'!$C$35&gt;0,'Liquiditätsplan-2.Jahr'!N35/'Liquiditätsplan-2.Jahr'!$C$35*'Liquiditätsplan-3.Jahr'!$C$35,0))</f>
        <v>0</v>
      </c>
      <c r="M189" s="1033">
        <f>IF(AND('Liquiditätsplan-3.Jahr'!$C$35&gt;0,'Liquiditätsplan-2.Jahr'!$C$35=0),'Liquiditätsplan-3.Jahr'!$C$35/12,IF('Liquiditätsplan-3.Jahr'!$C$35&gt;0,'Liquiditätsplan-2.Jahr'!O35/'Liquiditätsplan-2.Jahr'!$C$35*'Liquiditätsplan-3.Jahr'!$C$35,0))</f>
        <v>0</v>
      </c>
    </row>
    <row r="190" spans="1:13">
      <c r="A190" s="1031" t="s">
        <v>396</v>
      </c>
      <c r="B190" s="1032">
        <f>IF(AND('Liquiditätsplan-3.Jahr'!$C$36&gt;0,'Liquiditätsplan-2.Jahr'!$C$36=0),'Liquiditätsplan-3.Jahr'!$C$36/12,IF('Liquiditätsplan-3.Jahr'!$C$36&gt;0,'Liquiditätsplan-2.Jahr'!D36/'Liquiditätsplan-2.Jahr'!$C$36*'Liquiditätsplan-3.Jahr'!$C$36,0))</f>
        <v>0</v>
      </c>
      <c r="C190" s="1032">
        <f>IF(AND('Liquiditätsplan-3.Jahr'!$C$36&gt;0,'Liquiditätsplan-2.Jahr'!$C$36=0),'Liquiditätsplan-3.Jahr'!$C$36/12,IF('Liquiditätsplan-3.Jahr'!$C$36&gt;0,'Liquiditätsplan-2.Jahr'!E36/'Liquiditätsplan-2.Jahr'!$C$36*'Liquiditätsplan-3.Jahr'!$C$36,0))</f>
        <v>0</v>
      </c>
      <c r="D190" s="1032">
        <f>IF(AND('Liquiditätsplan-3.Jahr'!$C$36&gt;0,'Liquiditätsplan-2.Jahr'!$C$36=0),'Liquiditätsplan-3.Jahr'!$C$36/12,IF('Liquiditätsplan-3.Jahr'!$C$36&gt;0,'Liquiditätsplan-2.Jahr'!F36/'Liquiditätsplan-2.Jahr'!$C$36*'Liquiditätsplan-3.Jahr'!$C$36,0))</f>
        <v>0</v>
      </c>
      <c r="E190" s="1032">
        <f>IF(AND('Liquiditätsplan-3.Jahr'!$C$36&gt;0,'Liquiditätsplan-2.Jahr'!$C$36=0),'Liquiditätsplan-3.Jahr'!$C$36/12,IF('Liquiditätsplan-3.Jahr'!$C$36&gt;0,'Liquiditätsplan-2.Jahr'!G36/'Liquiditätsplan-2.Jahr'!$C$36*'Liquiditätsplan-3.Jahr'!$C$36,0))</f>
        <v>0</v>
      </c>
      <c r="F190" s="1032">
        <f>IF(AND('Liquiditätsplan-3.Jahr'!$C$36&gt;0,'Liquiditätsplan-2.Jahr'!$C$36=0),'Liquiditätsplan-3.Jahr'!$C$36/12,IF('Liquiditätsplan-3.Jahr'!$C$36&gt;0,'Liquiditätsplan-2.Jahr'!H36/'Liquiditätsplan-2.Jahr'!$C$36*'Liquiditätsplan-3.Jahr'!$C$36,0))</f>
        <v>0</v>
      </c>
      <c r="G190" s="1032">
        <f>IF(AND('Liquiditätsplan-3.Jahr'!$C$36&gt;0,'Liquiditätsplan-2.Jahr'!$C$36=0),'Liquiditätsplan-3.Jahr'!$C$36/12,IF('Liquiditätsplan-3.Jahr'!$C$36&gt;0,'Liquiditätsplan-2.Jahr'!I36/'Liquiditätsplan-2.Jahr'!$C$36*'Liquiditätsplan-3.Jahr'!$C$36,0))</f>
        <v>0</v>
      </c>
      <c r="H190" s="1032">
        <f>IF(AND('Liquiditätsplan-3.Jahr'!$C$36&gt;0,'Liquiditätsplan-2.Jahr'!$C$36=0),'Liquiditätsplan-3.Jahr'!$C$36/12,IF('Liquiditätsplan-3.Jahr'!$C$36&gt;0,'Liquiditätsplan-2.Jahr'!J36/'Liquiditätsplan-2.Jahr'!$C$36*'Liquiditätsplan-3.Jahr'!$C$36,0))</f>
        <v>0</v>
      </c>
      <c r="I190" s="1032">
        <f>IF(AND('Liquiditätsplan-3.Jahr'!$C$36&gt;0,'Liquiditätsplan-2.Jahr'!$C$36=0),'Liquiditätsplan-3.Jahr'!$C$36/12,IF('Liquiditätsplan-3.Jahr'!$C$36&gt;0,'Liquiditätsplan-2.Jahr'!K36/'Liquiditätsplan-2.Jahr'!$C$36*'Liquiditätsplan-3.Jahr'!$C$36,0))</f>
        <v>0</v>
      </c>
      <c r="J190" s="1032">
        <f>IF(AND('Liquiditätsplan-3.Jahr'!$C$36&gt;0,'Liquiditätsplan-2.Jahr'!$C$36=0),'Liquiditätsplan-3.Jahr'!$C$36/12,IF('Liquiditätsplan-3.Jahr'!$C$36&gt;0,'Liquiditätsplan-2.Jahr'!L36/'Liquiditätsplan-2.Jahr'!$C$36*'Liquiditätsplan-3.Jahr'!$C$36,0))</f>
        <v>0</v>
      </c>
      <c r="K190" s="1032">
        <f>IF(AND('Liquiditätsplan-3.Jahr'!$C$36&gt;0,'Liquiditätsplan-2.Jahr'!$C$36=0),'Liquiditätsplan-3.Jahr'!$C$36/12,IF('Liquiditätsplan-3.Jahr'!$C$36&gt;0,'Liquiditätsplan-2.Jahr'!M36/'Liquiditätsplan-2.Jahr'!$C$36*'Liquiditätsplan-3.Jahr'!$C$36,0))</f>
        <v>0</v>
      </c>
      <c r="L190" s="1032">
        <f>IF(AND('Liquiditätsplan-3.Jahr'!$C$36&gt;0,'Liquiditätsplan-2.Jahr'!$C$36=0),'Liquiditätsplan-3.Jahr'!$C$36/12,IF('Liquiditätsplan-3.Jahr'!$C$36&gt;0,'Liquiditätsplan-2.Jahr'!N36/'Liquiditätsplan-2.Jahr'!$C$36*'Liquiditätsplan-3.Jahr'!$C$36,0))</f>
        <v>0</v>
      </c>
      <c r="M190" s="1033">
        <f>IF(AND('Liquiditätsplan-3.Jahr'!$C$36&gt;0,'Liquiditätsplan-2.Jahr'!$C$36=0),'Liquiditätsplan-3.Jahr'!$C$36/12,IF('Liquiditätsplan-3.Jahr'!$C$36&gt;0,'Liquiditätsplan-2.Jahr'!O36/'Liquiditätsplan-2.Jahr'!$C$36*'Liquiditätsplan-3.Jahr'!$C$36,0))</f>
        <v>0</v>
      </c>
    </row>
    <row r="191" spans="1:13">
      <c r="A191" s="1031" t="s">
        <v>402</v>
      </c>
      <c r="B191" s="1032">
        <f>IF(AND('Liquiditätsplan-3.Jahr'!$C$37&gt;0,'Liquiditätsplan-2.Jahr'!$C$37=0),'Liquiditätsplan-3.Jahr'!$C$37/12,IF('Liquiditätsplan-3.Jahr'!$C$37&gt;0,'Liquiditätsplan-2.Jahr'!D37/'Liquiditätsplan-2.Jahr'!$C$37*'Liquiditätsplan-3.Jahr'!$C$37,0))</f>
        <v>0</v>
      </c>
      <c r="C191" s="1032">
        <f>IF(AND('Liquiditätsplan-3.Jahr'!$C$37&gt;0,'Liquiditätsplan-2.Jahr'!$C$37=0),'Liquiditätsplan-3.Jahr'!$C$37/12,IF('Liquiditätsplan-3.Jahr'!$C$37&gt;0,'Liquiditätsplan-2.Jahr'!E37/'Liquiditätsplan-2.Jahr'!$C$37*'Liquiditätsplan-3.Jahr'!$C$37,0))</f>
        <v>0</v>
      </c>
      <c r="D191" s="1032">
        <f>IF(AND('Liquiditätsplan-3.Jahr'!$C$37&gt;0,'Liquiditätsplan-2.Jahr'!$C$37=0),'Liquiditätsplan-3.Jahr'!$C$37/12,IF('Liquiditätsplan-3.Jahr'!$C$37&gt;0,'Liquiditätsplan-2.Jahr'!F37/'Liquiditätsplan-2.Jahr'!$C$37*'Liquiditätsplan-3.Jahr'!$C$37,0))</f>
        <v>0</v>
      </c>
      <c r="E191" s="1032">
        <f>IF(AND('Liquiditätsplan-3.Jahr'!$C$37&gt;0,'Liquiditätsplan-2.Jahr'!$C$37=0),'Liquiditätsplan-3.Jahr'!$C$37/12,IF('Liquiditätsplan-3.Jahr'!$C$37&gt;0,'Liquiditätsplan-2.Jahr'!G37/'Liquiditätsplan-2.Jahr'!$C$37*'Liquiditätsplan-3.Jahr'!$C$37,0))</f>
        <v>0</v>
      </c>
      <c r="F191" s="1032">
        <f>IF(AND('Liquiditätsplan-3.Jahr'!$C$37&gt;0,'Liquiditätsplan-2.Jahr'!$C$37=0),'Liquiditätsplan-3.Jahr'!$C$37/12,IF('Liquiditätsplan-3.Jahr'!$C$37&gt;0,'Liquiditätsplan-2.Jahr'!H37/'Liquiditätsplan-2.Jahr'!$C$37*'Liquiditätsplan-3.Jahr'!$C$37,0))</f>
        <v>0</v>
      </c>
      <c r="G191" s="1032">
        <f>IF(AND('Liquiditätsplan-3.Jahr'!$C$37&gt;0,'Liquiditätsplan-2.Jahr'!$C$37=0),'Liquiditätsplan-3.Jahr'!$C$37/12,IF('Liquiditätsplan-3.Jahr'!$C$37&gt;0,'Liquiditätsplan-2.Jahr'!I37/'Liquiditätsplan-2.Jahr'!$C$37*'Liquiditätsplan-3.Jahr'!$C$37,0))</f>
        <v>0</v>
      </c>
      <c r="H191" s="1032">
        <f>IF(AND('Liquiditätsplan-3.Jahr'!$C$37&gt;0,'Liquiditätsplan-2.Jahr'!$C$37=0),'Liquiditätsplan-3.Jahr'!$C$37/12,IF('Liquiditätsplan-3.Jahr'!$C$37&gt;0,'Liquiditätsplan-2.Jahr'!J37/'Liquiditätsplan-2.Jahr'!$C$37*'Liquiditätsplan-3.Jahr'!$C$37,0))</f>
        <v>0</v>
      </c>
      <c r="I191" s="1032">
        <f>IF(AND('Liquiditätsplan-3.Jahr'!$C$37&gt;0,'Liquiditätsplan-2.Jahr'!$C$37=0),'Liquiditätsplan-3.Jahr'!$C$37/12,IF('Liquiditätsplan-3.Jahr'!$C$37&gt;0,'Liquiditätsplan-2.Jahr'!K37/'Liquiditätsplan-2.Jahr'!$C$37*'Liquiditätsplan-3.Jahr'!$C$37,0))</f>
        <v>0</v>
      </c>
      <c r="J191" s="1032">
        <f>IF(AND('Liquiditätsplan-3.Jahr'!$C$37&gt;0,'Liquiditätsplan-2.Jahr'!$C$37=0),'Liquiditätsplan-3.Jahr'!$C$37/12,IF('Liquiditätsplan-3.Jahr'!$C$37&gt;0,'Liquiditätsplan-2.Jahr'!L37/'Liquiditätsplan-2.Jahr'!$C$37*'Liquiditätsplan-3.Jahr'!$C$37,0))</f>
        <v>0</v>
      </c>
      <c r="K191" s="1032">
        <f>IF(AND('Liquiditätsplan-3.Jahr'!$C$37&gt;0,'Liquiditätsplan-2.Jahr'!$C$37=0),'Liquiditätsplan-3.Jahr'!$C$37/12,IF('Liquiditätsplan-3.Jahr'!$C$37&gt;0,'Liquiditätsplan-2.Jahr'!M37/'Liquiditätsplan-2.Jahr'!$C$37*'Liquiditätsplan-3.Jahr'!$C$37,0))</f>
        <v>0</v>
      </c>
      <c r="L191" s="1032">
        <f>IF(AND('Liquiditätsplan-3.Jahr'!$C$37&gt;0,'Liquiditätsplan-2.Jahr'!$C$37=0),'Liquiditätsplan-3.Jahr'!$C$37/12,IF('Liquiditätsplan-3.Jahr'!$C$37&gt;0,'Liquiditätsplan-2.Jahr'!N37/'Liquiditätsplan-2.Jahr'!$C$37*'Liquiditätsplan-3.Jahr'!$C$37,0))</f>
        <v>0</v>
      </c>
      <c r="M191" s="1033">
        <f>IF(AND('Liquiditätsplan-3.Jahr'!$C$37&gt;0,'Liquiditätsplan-2.Jahr'!$C$37=0),'Liquiditätsplan-3.Jahr'!$C$37/12,IF('Liquiditätsplan-3.Jahr'!$C$37&gt;0,'Liquiditätsplan-2.Jahr'!O37/'Liquiditätsplan-2.Jahr'!$C$37*'Liquiditätsplan-3.Jahr'!$C$37,0))</f>
        <v>0</v>
      </c>
    </row>
    <row r="192" spans="1:13">
      <c r="A192" s="1031" t="s">
        <v>397</v>
      </c>
      <c r="B192" s="1032">
        <f>IF(AND('Liquiditätsplan-3.Jahr'!$C$38&gt;0,'Liquiditätsplan-2.Jahr'!$C$38=0),'Liquiditätsplan-3.Jahr'!$C$38/12,IF('Liquiditätsplan-3.Jahr'!$C$38&gt;0,'Liquiditätsplan-2.Jahr'!D38/'Liquiditätsplan-2.Jahr'!$C$38*'Liquiditätsplan-3.Jahr'!$C$38,0))</f>
        <v>0</v>
      </c>
      <c r="C192" s="1032">
        <f>IF(AND('Liquiditätsplan-3.Jahr'!$C$38&gt;0,'Liquiditätsplan-2.Jahr'!$C$38=0),'Liquiditätsplan-3.Jahr'!$C$38/12,IF('Liquiditätsplan-3.Jahr'!$C$38&gt;0,'Liquiditätsplan-2.Jahr'!E38/'Liquiditätsplan-2.Jahr'!$C$38*'Liquiditätsplan-3.Jahr'!$C$38,0))</f>
        <v>0</v>
      </c>
      <c r="D192" s="1032">
        <f>IF(AND('Liquiditätsplan-3.Jahr'!$C$38&gt;0,'Liquiditätsplan-2.Jahr'!$C$38=0),'Liquiditätsplan-3.Jahr'!$C$38/12,IF('Liquiditätsplan-3.Jahr'!$C$38&gt;0,'Liquiditätsplan-2.Jahr'!F38/'Liquiditätsplan-2.Jahr'!$C$38*'Liquiditätsplan-3.Jahr'!$C$38,0))</f>
        <v>0</v>
      </c>
      <c r="E192" s="1032">
        <f>IF(AND('Liquiditätsplan-3.Jahr'!$C$38&gt;0,'Liquiditätsplan-2.Jahr'!$C$38=0),'Liquiditätsplan-3.Jahr'!$C$38/12,IF('Liquiditätsplan-3.Jahr'!$C$38&gt;0,'Liquiditätsplan-2.Jahr'!G38/'Liquiditätsplan-2.Jahr'!$C$38*'Liquiditätsplan-3.Jahr'!$C$38,0))</f>
        <v>0</v>
      </c>
      <c r="F192" s="1032">
        <f>IF(AND('Liquiditätsplan-3.Jahr'!$C$38&gt;0,'Liquiditätsplan-2.Jahr'!$C$38=0),'Liquiditätsplan-3.Jahr'!$C$38/12,IF('Liquiditätsplan-3.Jahr'!$C$38&gt;0,'Liquiditätsplan-2.Jahr'!H38/'Liquiditätsplan-2.Jahr'!$C$38*'Liquiditätsplan-3.Jahr'!$C$38,0))</f>
        <v>0</v>
      </c>
      <c r="G192" s="1032">
        <f>IF(AND('Liquiditätsplan-3.Jahr'!$C$38&gt;0,'Liquiditätsplan-2.Jahr'!$C$38=0),'Liquiditätsplan-3.Jahr'!$C$38/12,IF('Liquiditätsplan-3.Jahr'!$C$38&gt;0,'Liquiditätsplan-2.Jahr'!I38/'Liquiditätsplan-2.Jahr'!$C$38*'Liquiditätsplan-3.Jahr'!$C$38,0))</f>
        <v>0</v>
      </c>
      <c r="H192" s="1032">
        <f>IF(AND('Liquiditätsplan-3.Jahr'!$C$38&gt;0,'Liquiditätsplan-2.Jahr'!$C$38=0),'Liquiditätsplan-3.Jahr'!$C$38/12,IF('Liquiditätsplan-3.Jahr'!$C$38&gt;0,'Liquiditätsplan-2.Jahr'!J38/'Liquiditätsplan-2.Jahr'!$C$38*'Liquiditätsplan-3.Jahr'!$C$38,0))</f>
        <v>0</v>
      </c>
      <c r="I192" s="1032">
        <f>IF(AND('Liquiditätsplan-3.Jahr'!$C$38&gt;0,'Liquiditätsplan-2.Jahr'!$C$38=0),'Liquiditätsplan-3.Jahr'!$C$38/12,IF('Liquiditätsplan-3.Jahr'!$C$38&gt;0,'Liquiditätsplan-2.Jahr'!K38/'Liquiditätsplan-2.Jahr'!$C$38*'Liquiditätsplan-3.Jahr'!$C$38,0))</f>
        <v>0</v>
      </c>
      <c r="J192" s="1032">
        <f>IF(AND('Liquiditätsplan-3.Jahr'!$C$38&gt;0,'Liquiditätsplan-2.Jahr'!$C$38=0),'Liquiditätsplan-3.Jahr'!$C$38/12,IF('Liquiditätsplan-3.Jahr'!$C$38&gt;0,'Liquiditätsplan-2.Jahr'!L38/'Liquiditätsplan-2.Jahr'!$C$38*'Liquiditätsplan-3.Jahr'!$C$38,0))</f>
        <v>0</v>
      </c>
      <c r="K192" s="1032">
        <f>IF(AND('Liquiditätsplan-3.Jahr'!$C$38&gt;0,'Liquiditätsplan-2.Jahr'!$C$38=0),'Liquiditätsplan-3.Jahr'!$C$38/12,IF('Liquiditätsplan-3.Jahr'!$C$38&gt;0,'Liquiditätsplan-2.Jahr'!M38/'Liquiditätsplan-2.Jahr'!$C$38*'Liquiditätsplan-3.Jahr'!$C$38,0))</f>
        <v>0</v>
      </c>
      <c r="L192" s="1032">
        <f>IF(AND('Liquiditätsplan-3.Jahr'!$C$38&gt;0,'Liquiditätsplan-2.Jahr'!$C$38=0),'Liquiditätsplan-3.Jahr'!$C$38/12,IF('Liquiditätsplan-3.Jahr'!$C$38&gt;0,'Liquiditätsplan-2.Jahr'!N38/'Liquiditätsplan-2.Jahr'!$C$38*'Liquiditätsplan-3.Jahr'!$C$38,0))</f>
        <v>0</v>
      </c>
      <c r="M192" s="1033">
        <f>IF(AND('Liquiditätsplan-3.Jahr'!$C$38&gt;0,'Liquiditätsplan-2.Jahr'!$C$38=0),'Liquiditätsplan-3.Jahr'!$C$38/12,IF('Liquiditätsplan-3.Jahr'!$C$38&gt;0,'Liquiditätsplan-2.Jahr'!O38/'Liquiditätsplan-2.Jahr'!$C$38*'Liquiditätsplan-3.Jahr'!$C$38,0))</f>
        <v>0</v>
      </c>
    </row>
    <row r="193" spans="1:16">
      <c r="A193" s="1031" t="s">
        <v>398</v>
      </c>
      <c r="B193" s="1032">
        <f>IF(AND('Liquiditätsplan-3.Jahr'!$C$39&gt;0,'Liquiditätsplan-2.Jahr'!$C$39=0),'Liquiditätsplan-3.Jahr'!$C$39/12,IF('Liquiditätsplan-3.Jahr'!$C$39&gt;0,'Liquiditätsplan-2.Jahr'!D39/'Liquiditätsplan-2.Jahr'!$C$39*'Liquiditätsplan-3.Jahr'!$C$39,0))</f>
        <v>0</v>
      </c>
      <c r="C193" s="1032">
        <f>IF(AND('Liquiditätsplan-3.Jahr'!$C$39&gt;0,'Liquiditätsplan-2.Jahr'!$C$39=0),'Liquiditätsplan-3.Jahr'!$C$39/12,IF('Liquiditätsplan-3.Jahr'!$C$39&gt;0,'Liquiditätsplan-2.Jahr'!E39/'Liquiditätsplan-2.Jahr'!$C$39*'Liquiditätsplan-3.Jahr'!$C$39,0))</f>
        <v>0</v>
      </c>
      <c r="D193" s="1032">
        <f>IF(AND('Liquiditätsplan-3.Jahr'!$C$39&gt;0,'Liquiditätsplan-2.Jahr'!$C$39=0),'Liquiditätsplan-3.Jahr'!$C$39/12,IF('Liquiditätsplan-3.Jahr'!$C$39&gt;0,'Liquiditätsplan-2.Jahr'!F39/'Liquiditätsplan-2.Jahr'!$C$39*'Liquiditätsplan-3.Jahr'!$C$39,0))</f>
        <v>0</v>
      </c>
      <c r="E193" s="1032">
        <f>IF(AND('Liquiditätsplan-3.Jahr'!$C$39&gt;0,'Liquiditätsplan-2.Jahr'!$C$39=0),'Liquiditätsplan-3.Jahr'!$C$39/12,IF('Liquiditätsplan-3.Jahr'!$C$39&gt;0,'Liquiditätsplan-2.Jahr'!G39/'Liquiditätsplan-2.Jahr'!$C$39*'Liquiditätsplan-3.Jahr'!$C$39,0))</f>
        <v>0</v>
      </c>
      <c r="F193" s="1032">
        <f>IF(AND('Liquiditätsplan-3.Jahr'!$C$39&gt;0,'Liquiditätsplan-2.Jahr'!$C$39=0),'Liquiditätsplan-3.Jahr'!$C$39/12,IF('Liquiditätsplan-3.Jahr'!$C$39&gt;0,'Liquiditätsplan-2.Jahr'!H39/'Liquiditätsplan-2.Jahr'!$C$39*'Liquiditätsplan-3.Jahr'!$C$39,0))</f>
        <v>0</v>
      </c>
      <c r="G193" s="1032">
        <f>IF(AND('Liquiditätsplan-3.Jahr'!$C$39&gt;0,'Liquiditätsplan-2.Jahr'!$C$39=0),'Liquiditätsplan-3.Jahr'!$C$39/12,IF('Liquiditätsplan-3.Jahr'!$C$39&gt;0,'Liquiditätsplan-2.Jahr'!I39/'Liquiditätsplan-2.Jahr'!$C$39*'Liquiditätsplan-3.Jahr'!$C$39,0))</f>
        <v>0</v>
      </c>
      <c r="H193" s="1032">
        <f>IF(AND('Liquiditätsplan-3.Jahr'!$C$39&gt;0,'Liquiditätsplan-2.Jahr'!$C$39=0),'Liquiditätsplan-3.Jahr'!$C$39/12,IF('Liquiditätsplan-3.Jahr'!$C$39&gt;0,'Liquiditätsplan-2.Jahr'!J39/'Liquiditätsplan-2.Jahr'!$C$39*'Liquiditätsplan-3.Jahr'!$C$39,0))</f>
        <v>0</v>
      </c>
      <c r="I193" s="1032">
        <f>IF(AND('Liquiditätsplan-3.Jahr'!$C$39&gt;0,'Liquiditätsplan-2.Jahr'!$C$39=0),'Liquiditätsplan-3.Jahr'!$C$39/12,IF('Liquiditätsplan-3.Jahr'!$C$39&gt;0,'Liquiditätsplan-2.Jahr'!K39/'Liquiditätsplan-2.Jahr'!$C$39*'Liquiditätsplan-3.Jahr'!$C$39,0))</f>
        <v>0</v>
      </c>
      <c r="J193" s="1032">
        <f>IF(AND('Liquiditätsplan-3.Jahr'!$C$39&gt;0,'Liquiditätsplan-2.Jahr'!$C$39=0),'Liquiditätsplan-3.Jahr'!$C$39/12,IF('Liquiditätsplan-3.Jahr'!$C$39&gt;0,'Liquiditätsplan-2.Jahr'!L39/'Liquiditätsplan-2.Jahr'!$C$39*'Liquiditätsplan-3.Jahr'!$C$39,0))</f>
        <v>0</v>
      </c>
      <c r="K193" s="1032">
        <f>IF(AND('Liquiditätsplan-3.Jahr'!$C$39&gt;0,'Liquiditätsplan-2.Jahr'!$C$39=0),'Liquiditätsplan-3.Jahr'!$C$39/12,IF('Liquiditätsplan-3.Jahr'!$C$39&gt;0,'Liquiditätsplan-2.Jahr'!M39/'Liquiditätsplan-2.Jahr'!$C$39*'Liquiditätsplan-3.Jahr'!$C$39,0))</f>
        <v>0</v>
      </c>
      <c r="L193" s="1032">
        <f>IF(AND('Liquiditätsplan-3.Jahr'!$C$39&gt;0,'Liquiditätsplan-2.Jahr'!$C$39=0),'Liquiditätsplan-3.Jahr'!$C$39/12,IF('Liquiditätsplan-3.Jahr'!$C$39&gt;0,'Liquiditätsplan-2.Jahr'!N39/'Liquiditätsplan-2.Jahr'!$C$39*'Liquiditätsplan-3.Jahr'!$C$39,0))</f>
        <v>0</v>
      </c>
      <c r="M193" s="1033">
        <f>IF(AND('Liquiditätsplan-3.Jahr'!$C$39&gt;0,'Liquiditätsplan-2.Jahr'!$C$39=0),'Liquiditätsplan-3.Jahr'!$C$39/12,IF('Liquiditätsplan-3.Jahr'!$C$39&gt;0,'Liquiditätsplan-2.Jahr'!O39/'Liquiditätsplan-2.Jahr'!$C$39*'Liquiditätsplan-3.Jahr'!$C$39,0))</f>
        <v>0</v>
      </c>
      <c r="O193" s="26" t="s">
        <v>574</v>
      </c>
      <c r="P193" s="26">
        <f>IF('übrige Kosten'!G27="",0,'übrige Kosten'!G27)</f>
        <v>0</v>
      </c>
    </row>
    <row r="194" spans="1:16">
      <c r="A194" s="1031" t="s">
        <v>399</v>
      </c>
      <c r="B194" s="1032">
        <f>IF(AND('Liquiditätsplan-3.Jahr'!$C$40&gt;0,'Liquiditätsplan-2.Jahr'!$C$40=0),'Liquiditätsplan-3.Jahr'!$C$40/12,IF('Liquiditätsplan-3.Jahr'!$C$40&gt;0,'Liquiditätsplan-2.Jahr'!D40/'Liquiditätsplan-2.Jahr'!$C$40*'Liquiditätsplan-3.Jahr'!$C$40,0))</f>
        <v>0</v>
      </c>
      <c r="C194" s="1032">
        <f>IF(AND('Liquiditätsplan-3.Jahr'!$C$40&gt;0,'Liquiditätsplan-2.Jahr'!$C$40=0),'Liquiditätsplan-3.Jahr'!$C$40/12,IF('Liquiditätsplan-3.Jahr'!$C$40&gt;0,'Liquiditätsplan-2.Jahr'!E40/'Liquiditätsplan-2.Jahr'!$C$40*'Liquiditätsplan-3.Jahr'!$C$40,0))</f>
        <v>0</v>
      </c>
      <c r="D194" s="1032">
        <f>IF(AND('Liquiditätsplan-3.Jahr'!$C$40&gt;0,'Liquiditätsplan-2.Jahr'!$C$40=0),'Liquiditätsplan-3.Jahr'!$C$40/12,IF('Liquiditätsplan-3.Jahr'!$C$40&gt;0,'Liquiditätsplan-2.Jahr'!F40/'Liquiditätsplan-2.Jahr'!$C$40*'Liquiditätsplan-3.Jahr'!$C$40,0))</f>
        <v>0</v>
      </c>
      <c r="E194" s="1032">
        <f>IF(AND('Liquiditätsplan-3.Jahr'!$C$40&gt;0,'Liquiditätsplan-2.Jahr'!$C$40=0),'Liquiditätsplan-3.Jahr'!$C$40/12,IF('Liquiditätsplan-3.Jahr'!$C$40&gt;0,'Liquiditätsplan-2.Jahr'!G40/'Liquiditätsplan-2.Jahr'!$C$40*'Liquiditätsplan-3.Jahr'!$C$40,0))</f>
        <v>0</v>
      </c>
      <c r="F194" s="1032">
        <f>IF(AND('Liquiditätsplan-3.Jahr'!$C$40&gt;0,'Liquiditätsplan-2.Jahr'!$C$40=0),'Liquiditätsplan-3.Jahr'!$C$40/12,IF('Liquiditätsplan-3.Jahr'!$C$40&gt;0,'Liquiditätsplan-2.Jahr'!H40/'Liquiditätsplan-2.Jahr'!$C$40*'Liquiditätsplan-3.Jahr'!$C$40,0))</f>
        <v>0</v>
      </c>
      <c r="G194" s="1032">
        <f>IF(AND('Liquiditätsplan-3.Jahr'!$C$40&gt;0,'Liquiditätsplan-2.Jahr'!$C$40=0),'Liquiditätsplan-3.Jahr'!$C$40/12,IF('Liquiditätsplan-3.Jahr'!$C$40&gt;0,'Liquiditätsplan-2.Jahr'!I40/'Liquiditätsplan-2.Jahr'!$C$40*'Liquiditätsplan-3.Jahr'!$C$40,0))</f>
        <v>0</v>
      </c>
      <c r="H194" s="1032">
        <f>IF(AND('Liquiditätsplan-3.Jahr'!$C$40&gt;0,'Liquiditätsplan-2.Jahr'!$C$40=0),'Liquiditätsplan-3.Jahr'!$C$40/12,IF('Liquiditätsplan-3.Jahr'!$C$40&gt;0,'Liquiditätsplan-2.Jahr'!J40/'Liquiditätsplan-2.Jahr'!$C$40*'Liquiditätsplan-3.Jahr'!$C$40,0))</f>
        <v>0</v>
      </c>
      <c r="I194" s="1032">
        <f>IF(AND('Liquiditätsplan-3.Jahr'!$C$40&gt;0,'Liquiditätsplan-2.Jahr'!$C$40=0),'Liquiditätsplan-3.Jahr'!$C$40/12,IF('Liquiditätsplan-3.Jahr'!$C$40&gt;0,'Liquiditätsplan-2.Jahr'!K40/'Liquiditätsplan-2.Jahr'!$C$40*'Liquiditätsplan-3.Jahr'!$C$40,0))</f>
        <v>0</v>
      </c>
      <c r="J194" s="1032">
        <f>IF(AND('Liquiditätsplan-3.Jahr'!$C$40&gt;0,'Liquiditätsplan-2.Jahr'!$C$40=0),'Liquiditätsplan-3.Jahr'!$C$40/12,IF('Liquiditätsplan-3.Jahr'!$C$40&gt;0,'Liquiditätsplan-2.Jahr'!L40/'Liquiditätsplan-2.Jahr'!$C$40*'Liquiditätsplan-3.Jahr'!$C$40,0))</f>
        <v>0</v>
      </c>
      <c r="K194" s="1032">
        <f>IF(AND('Liquiditätsplan-3.Jahr'!$C$40&gt;0,'Liquiditätsplan-2.Jahr'!$C$40=0),'Liquiditätsplan-3.Jahr'!$C$40/12,IF('Liquiditätsplan-3.Jahr'!$C$40&gt;0,'Liquiditätsplan-2.Jahr'!M40/'Liquiditätsplan-2.Jahr'!$C$40*'Liquiditätsplan-3.Jahr'!$C$40,0))</f>
        <v>0</v>
      </c>
      <c r="L194" s="1032">
        <f>IF(AND('Liquiditätsplan-3.Jahr'!$C$40&gt;0,'Liquiditätsplan-2.Jahr'!$C$40=0),'Liquiditätsplan-3.Jahr'!$C$40/12,IF('Liquiditätsplan-3.Jahr'!$C$40&gt;0,'Liquiditätsplan-2.Jahr'!N40/'Liquiditätsplan-2.Jahr'!$C$40*'Liquiditätsplan-3.Jahr'!$C$40,0))</f>
        <v>0</v>
      </c>
      <c r="M194" s="1033">
        <f>IF(AND('Liquiditätsplan-3.Jahr'!$C$40&gt;0,'Liquiditätsplan-2.Jahr'!$C$40=0),'Liquiditätsplan-3.Jahr'!$C$40/12,IF('Liquiditätsplan-3.Jahr'!$C$40&gt;0,'Liquiditätsplan-2.Jahr'!O40/'Liquiditätsplan-2.Jahr'!$C$40*'Liquiditätsplan-3.Jahr'!$C$40,0))</f>
        <v>0</v>
      </c>
      <c r="O194" s="26" t="s">
        <v>575</v>
      </c>
      <c r="P194" s="26">
        <f>IF('übrige Kosten'!G28="",0,'übrige Kosten'!G28)</f>
        <v>0</v>
      </c>
    </row>
    <row r="195" spans="1:16">
      <c r="A195" s="1035" t="s">
        <v>84</v>
      </c>
      <c r="B195" s="1036">
        <f>IF(AND('Liquiditätsplan-3.Jahr'!$C$43&gt;0,'Liquiditätsplan-2.Jahr'!$C$43=0),'Liquiditätsplan-3.Jahr'!$C$43/12,IF('Liquiditätsplan-3.Jahr'!$C$43&gt;0,'Liquiditätsplan-2.Jahr'!D43/'Liquiditätsplan-2.Jahr'!$C$43*'Liquiditätsplan-3.Jahr'!$C$43,0))</f>
        <v>0</v>
      </c>
      <c r="C195" s="1036">
        <f>IF(AND('Liquiditätsplan-3.Jahr'!$C$43&gt;0,'Liquiditätsplan-2.Jahr'!$C$43=0),'Liquiditätsplan-3.Jahr'!$C$43/12,IF('Liquiditätsplan-3.Jahr'!$C$43&gt;0,'Liquiditätsplan-2.Jahr'!E43/'Liquiditätsplan-2.Jahr'!$C$43*'Liquiditätsplan-3.Jahr'!$C$43,0))</f>
        <v>0</v>
      </c>
      <c r="D195" s="1036">
        <f>IF(AND('Liquiditätsplan-3.Jahr'!$C$43&gt;0,'Liquiditätsplan-2.Jahr'!$C$43=0),'Liquiditätsplan-3.Jahr'!$C$43/12,IF('Liquiditätsplan-3.Jahr'!$C$43&gt;0,'Liquiditätsplan-2.Jahr'!F43/'Liquiditätsplan-2.Jahr'!$C$43*'Liquiditätsplan-3.Jahr'!$C$43,0))</f>
        <v>0</v>
      </c>
      <c r="E195" s="1036">
        <f>IF(AND('Liquiditätsplan-3.Jahr'!$C$43&gt;0,'Liquiditätsplan-2.Jahr'!$C$43=0),'Liquiditätsplan-3.Jahr'!$C$43/12,IF('Liquiditätsplan-3.Jahr'!$C$43&gt;0,'Liquiditätsplan-2.Jahr'!G43/'Liquiditätsplan-2.Jahr'!$C$43*'Liquiditätsplan-3.Jahr'!$C$43,0))</f>
        <v>0</v>
      </c>
      <c r="F195" s="1036">
        <f>IF(AND('Liquiditätsplan-3.Jahr'!$C$43&gt;0,'Liquiditätsplan-2.Jahr'!$C$43=0),'Liquiditätsplan-3.Jahr'!$C$43/12,IF('Liquiditätsplan-3.Jahr'!$C$43&gt;0,'Liquiditätsplan-2.Jahr'!H43/'Liquiditätsplan-2.Jahr'!$C$43*'Liquiditätsplan-3.Jahr'!$C$43,0))</f>
        <v>0</v>
      </c>
      <c r="G195" s="1036">
        <f>IF(AND('Liquiditätsplan-3.Jahr'!$C$43&gt;0,'Liquiditätsplan-2.Jahr'!$C$43=0),'Liquiditätsplan-3.Jahr'!$C$43/12,IF('Liquiditätsplan-3.Jahr'!$C$43&gt;0,'Liquiditätsplan-2.Jahr'!I43/'Liquiditätsplan-2.Jahr'!$C$43*'Liquiditätsplan-3.Jahr'!$C$43,0))</f>
        <v>0</v>
      </c>
      <c r="H195" s="1036">
        <f>IF(AND('Liquiditätsplan-3.Jahr'!$C$43&gt;0,'Liquiditätsplan-2.Jahr'!$C$43=0),'Liquiditätsplan-3.Jahr'!$C$43/12,IF('Liquiditätsplan-3.Jahr'!$C$43&gt;0,'Liquiditätsplan-2.Jahr'!J43/'Liquiditätsplan-2.Jahr'!$C$43*'Liquiditätsplan-3.Jahr'!$C$43,0))</f>
        <v>0</v>
      </c>
      <c r="I195" s="1036">
        <f>IF(AND('Liquiditätsplan-3.Jahr'!$C$43&gt;0,'Liquiditätsplan-2.Jahr'!$C$43=0),'Liquiditätsplan-3.Jahr'!$C$43/12,IF('Liquiditätsplan-3.Jahr'!$C$43&gt;0,'Liquiditätsplan-2.Jahr'!K43/'Liquiditätsplan-2.Jahr'!$C$43*'Liquiditätsplan-3.Jahr'!$C$43,0))</f>
        <v>0</v>
      </c>
      <c r="J195" s="1036">
        <f>IF(AND('Liquiditätsplan-3.Jahr'!$C$43&gt;0,'Liquiditätsplan-2.Jahr'!$C$43=0),'Liquiditätsplan-3.Jahr'!$C$43/12,IF('Liquiditätsplan-3.Jahr'!$C$43&gt;0,'Liquiditätsplan-2.Jahr'!L43/'Liquiditätsplan-2.Jahr'!$C$43*'Liquiditätsplan-3.Jahr'!$C$43,0))</f>
        <v>0</v>
      </c>
      <c r="K195" s="1036">
        <f>IF(AND('Liquiditätsplan-3.Jahr'!$C$43&gt;0,'Liquiditätsplan-2.Jahr'!$C$43=0),'Liquiditätsplan-3.Jahr'!$C$43/12,IF('Liquiditätsplan-3.Jahr'!$C$43&gt;0,'Liquiditätsplan-2.Jahr'!M43/'Liquiditätsplan-2.Jahr'!$C$43*'Liquiditätsplan-3.Jahr'!$C$43,0))</f>
        <v>0</v>
      </c>
      <c r="L195" s="1036">
        <f>IF(AND('Liquiditätsplan-3.Jahr'!$C$43&gt;0,'Liquiditätsplan-2.Jahr'!$C$43=0),'Liquiditätsplan-3.Jahr'!$C$43/12,IF('Liquiditätsplan-3.Jahr'!$C$43&gt;0,'Liquiditätsplan-2.Jahr'!N43/'Liquiditätsplan-2.Jahr'!$C$43*'Liquiditätsplan-3.Jahr'!$C$43,0))</f>
        <v>0</v>
      </c>
      <c r="M195" s="1037">
        <f>IF(AND('Liquiditätsplan-3.Jahr'!$C$43&gt;0,'Liquiditätsplan-2.Jahr'!$C$43=0),'Liquiditätsplan-3.Jahr'!$C$43/12,IF('Liquiditätsplan-3.Jahr'!$C$43&gt;0,'Liquiditätsplan-2.Jahr'!O43/'Liquiditätsplan-2.Jahr'!$C$43*'Liquiditätsplan-3.Jahr'!$C$43,0))</f>
        <v>0</v>
      </c>
      <c r="O195" s="26" t="s">
        <v>576</v>
      </c>
      <c r="P195" s="26">
        <f>IF('übrige Kosten'!G29="",0,'übrige Kosten'!G29)</f>
        <v>0</v>
      </c>
    </row>
  </sheetData>
  <sheetProtection password="EAD7" sheet="1" objects="1" scenarios="1"/>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2">
    <tabColor theme="6" tint="0.79998168889431442"/>
    <pageSetUpPr fitToPage="1"/>
  </sheetPr>
  <dimension ref="A2:AD186"/>
  <sheetViews>
    <sheetView showGridLines="0" zoomScale="70" zoomScaleNormal="70" zoomScaleSheetLayoutView="40" workbookViewId="0">
      <selection activeCell="L67" sqref="L67"/>
    </sheetView>
  </sheetViews>
  <sheetFormatPr baseColWidth="10" defaultColWidth="11.44140625" defaultRowHeight="13.2" outlineLevelRow="1"/>
  <cols>
    <col min="1" max="1" width="66.5546875" style="17" customWidth="1"/>
    <col min="2" max="2" width="12.44140625" style="52" customWidth="1"/>
    <col min="3" max="3" width="13" style="17" customWidth="1"/>
    <col min="4" max="4" width="14.5546875" style="17" customWidth="1"/>
    <col min="5" max="16" width="14.44140625" style="17" customWidth="1"/>
    <col min="17" max="17" width="24.33203125" style="17" customWidth="1"/>
    <col min="18" max="16384" width="11.44140625" style="17"/>
  </cols>
  <sheetData>
    <row r="2" spans="1:30" ht="17.399999999999999">
      <c r="A2" s="968" t="s">
        <v>508</v>
      </c>
      <c r="B2" s="943" t="s">
        <v>80</v>
      </c>
      <c r="C2" s="934"/>
      <c r="D2" s="1144" t="s">
        <v>502</v>
      </c>
      <c r="E2" s="1145"/>
    </row>
    <row r="4" spans="1:30" s="1" customFormat="1" ht="28.2">
      <c r="A4" s="627" t="str">
        <f xml:space="preserve"> CONCATENATE( "Liquiditätsplanung des 1. Geschäftsjahres des Unternehmens :  ", Startseite!C14)</f>
        <v xml:space="preserve">Liquiditätsplanung des 1. Geschäftsjahres des Unternehmens :  </v>
      </c>
      <c r="B4" s="628"/>
      <c r="C4" s="629"/>
      <c r="D4" s="630"/>
      <c r="E4" s="630"/>
      <c r="F4" s="630"/>
      <c r="G4" s="630"/>
      <c r="H4" s="630"/>
      <c r="I4" s="631">
        <f>'Personalkosten 1. Jahr'!M4</f>
        <v>45597</v>
      </c>
      <c r="J4" s="632" t="s">
        <v>248</v>
      </c>
      <c r="K4" s="631">
        <f>'Personalkosten 1. Jahr'!O4</f>
        <v>45947</v>
      </c>
      <c r="L4" s="630"/>
      <c r="M4" s="630"/>
      <c r="N4" s="936"/>
      <c r="O4" s="936"/>
      <c r="P4" s="936"/>
      <c r="Q4" s="630"/>
      <c r="R4" s="630"/>
      <c r="S4" s="630"/>
      <c r="T4" s="630"/>
      <c r="U4" s="630"/>
      <c r="V4" s="630"/>
      <c r="W4" s="630"/>
      <c r="X4" s="630"/>
      <c r="Y4" s="630"/>
      <c r="Z4" s="630"/>
      <c r="AA4" s="630"/>
      <c r="AB4" s="630"/>
      <c r="AC4" s="630"/>
      <c r="AD4" s="630"/>
    </row>
    <row r="5" spans="1:30" s="1" customFormat="1" ht="16.5" customHeight="1">
      <c r="A5" s="633"/>
      <c r="B5" s="634"/>
      <c r="C5" s="633"/>
      <c r="D5" s="630"/>
      <c r="E5" s="630"/>
      <c r="F5" s="630"/>
      <c r="G5" s="630"/>
      <c r="H5" s="630"/>
      <c r="I5" s="630"/>
      <c r="J5" s="630"/>
      <c r="K5" s="630"/>
      <c r="L5" s="630"/>
      <c r="M5" s="630"/>
      <c r="N5" s="937"/>
      <c r="O5" s="1349"/>
      <c r="P5" s="1349"/>
      <c r="Q5" s="630"/>
      <c r="R5" s="630"/>
      <c r="S5" s="630"/>
      <c r="T5" s="630"/>
      <c r="U5" s="630"/>
      <c r="V5" s="630"/>
      <c r="W5" s="630"/>
      <c r="X5" s="630"/>
      <c r="Y5" s="630"/>
      <c r="Z5" s="630"/>
      <c r="AA5" s="630"/>
      <c r="AB5" s="630"/>
      <c r="AC5" s="630"/>
      <c r="AD5" s="630"/>
    </row>
    <row r="6" spans="1:30" s="1" customFormat="1" ht="15.6">
      <c r="A6" s="630"/>
      <c r="B6" s="635" t="s">
        <v>424</v>
      </c>
      <c r="C6" s="633"/>
      <c r="D6" s="633"/>
      <c r="E6" s="630"/>
      <c r="F6" s="630"/>
      <c r="G6" s="630"/>
      <c r="H6" s="630"/>
      <c r="I6" s="630"/>
      <c r="J6" s="630"/>
      <c r="K6" s="630"/>
      <c r="L6" s="630"/>
      <c r="M6" s="630"/>
      <c r="N6" s="936"/>
      <c r="O6" s="936"/>
      <c r="P6" s="936"/>
      <c r="Q6" s="261"/>
      <c r="R6" s="261"/>
      <c r="S6" s="261"/>
      <c r="T6" s="261"/>
      <c r="U6" s="630"/>
      <c r="V6" s="630"/>
      <c r="W6" s="630"/>
      <c r="X6" s="630"/>
      <c r="Y6" s="630"/>
      <c r="Z6" s="630"/>
      <c r="AA6" s="630"/>
      <c r="AB6" s="630"/>
      <c r="AC6" s="630"/>
      <c r="AD6" s="630"/>
    </row>
    <row r="7" spans="1:30" s="1" customFormat="1" ht="15">
      <c r="A7" s="630"/>
      <c r="B7" s="827">
        <v>0.5</v>
      </c>
      <c r="C7" s="636" t="s">
        <v>54</v>
      </c>
      <c r="D7" s="637"/>
      <c r="E7" s="636"/>
      <c r="F7" s="636"/>
      <c r="G7" s="638"/>
      <c r="H7" s="630"/>
      <c r="I7" s="630"/>
      <c r="J7" s="630"/>
      <c r="K7" s="630"/>
      <c r="L7" s="630"/>
      <c r="M7" s="932"/>
      <c r="N7" s="938"/>
      <c r="O7" s="939"/>
      <c r="P7" s="940"/>
      <c r="Q7" s="935"/>
      <c r="R7" s="261"/>
      <c r="S7" s="261"/>
      <c r="T7" s="261"/>
      <c r="U7" s="630"/>
      <c r="V7" s="630"/>
      <c r="W7" s="630"/>
      <c r="X7" s="630"/>
      <c r="Y7" s="630"/>
      <c r="Z7" s="630"/>
      <c r="AA7" s="630"/>
      <c r="AB7" s="630"/>
      <c r="AC7" s="630"/>
      <c r="AD7" s="630"/>
    </row>
    <row r="8" spans="1:30" s="1" customFormat="1" ht="15">
      <c r="A8" s="630"/>
      <c r="B8" s="875">
        <v>0.4</v>
      </c>
      <c r="C8" s="630" t="s">
        <v>55</v>
      </c>
      <c r="D8" s="639"/>
      <c r="E8" s="630"/>
      <c r="F8" s="630"/>
      <c r="G8" s="640"/>
      <c r="H8" s="630"/>
      <c r="I8" s="630"/>
      <c r="J8" s="630"/>
      <c r="K8" s="630"/>
      <c r="L8" s="630"/>
      <c r="M8" s="630"/>
      <c r="N8" s="630"/>
      <c r="O8" s="630"/>
      <c r="P8" s="630"/>
      <c r="Q8" s="262"/>
      <c r="R8" s="261"/>
      <c r="S8" s="261"/>
      <c r="T8" s="261"/>
      <c r="U8" s="630"/>
      <c r="V8" s="630"/>
      <c r="W8" s="630"/>
      <c r="X8" s="630"/>
      <c r="Y8" s="630"/>
      <c r="Z8" s="630"/>
      <c r="AA8" s="630"/>
      <c r="AB8" s="630"/>
      <c r="AC8" s="630"/>
      <c r="AD8" s="630"/>
    </row>
    <row r="9" spans="1:30" s="1" customFormat="1" ht="15">
      <c r="A9" s="630"/>
      <c r="B9" s="877">
        <v>0.1</v>
      </c>
      <c r="C9" s="642" t="s">
        <v>56</v>
      </c>
      <c r="D9" s="643"/>
      <c r="E9" s="642"/>
      <c r="F9" s="642"/>
      <c r="G9" s="644"/>
      <c r="H9" s="630"/>
      <c r="I9" s="932"/>
      <c r="J9" s="630"/>
      <c r="K9" s="630"/>
      <c r="L9" s="630"/>
      <c r="M9" s="630"/>
      <c r="N9" s="630"/>
      <c r="O9" s="630"/>
      <c r="P9" s="630"/>
      <c r="Q9" s="63"/>
      <c r="R9" s="63"/>
      <c r="S9" s="63"/>
      <c r="T9" s="63"/>
      <c r="U9" s="630"/>
      <c r="V9" s="630"/>
      <c r="W9" s="630"/>
      <c r="X9" s="630"/>
      <c r="Y9" s="630"/>
      <c r="Z9" s="630"/>
      <c r="AA9" s="630"/>
      <c r="AB9" s="630"/>
      <c r="AC9" s="630"/>
      <c r="AD9" s="630"/>
    </row>
    <row r="10" spans="1:30" s="1" customFormat="1" ht="15.75" hidden="1" customHeight="1">
      <c r="A10" s="630"/>
      <c r="B10" s="876">
        <v>0.19</v>
      </c>
      <c r="C10" s="636" t="s">
        <v>57</v>
      </c>
      <c r="D10" s="641"/>
      <c r="E10" s="636"/>
      <c r="F10" s="636"/>
      <c r="G10" s="638"/>
      <c r="H10" s="630"/>
      <c r="I10" s="932"/>
      <c r="J10" s="630"/>
      <c r="K10" s="630"/>
      <c r="L10" s="630"/>
      <c r="M10" s="630"/>
      <c r="N10" s="630"/>
      <c r="O10" s="630"/>
      <c r="P10" s="630"/>
      <c r="Q10" s="630"/>
      <c r="R10" s="630"/>
      <c r="S10" s="630"/>
      <c r="T10" s="630"/>
      <c r="U10" s="630"/>
      <c r="V10" s="630"/>
      <c r="W10" s="630"/>
      <c r="X10" s="630"/>
      <c r="Y10" s="630"/>
      <c r="Z10" s="630"/>
      <c r="AA10" s="630"/>
      <c r="AB10" s="630"/>
      <c r="AC10" s="630"/>
      <c r="AD10" s="630"/>
    </row>
    <row r="11" spans="1:30" s="1" customFormat="1" ht="18" hidden="1" customHeight="1">
      <c r="A11" s="630"/>
      <c r="B11" s="877">
        <v>0.19</v>
      </c>
      <c r="C11" s="642" t="s">
        <v>58</v>
      </c>
      <c r="D11" s="643"/>
      <c r="E11" s="642"/>
      <c r="F11" s="642"/>
      <c r="G11" s="644"/>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row>
    <row r="12" spans="1:30" s="1" customFormat="1" ht="16.2" thickBot="1">
      <c r="A12" s="645"/>
      <c r="B12" s="646"/>
      <c r="C12" s="645"/>
      <c r="D12" s="647"/>
      <c r="E12" s="645"/>
      <c r="F12" s="630"/>
      <c r="G12" s="630"/>
      <c r="H12" s="630"/>
      <c r="I12" s="630"/>
      <c r="J12" s="630"/>
      <c r="K12" s="630"/>
      <c r="L12" s="630"/>
      <c r="M12" s="630"/>
      <c r="N12" s="119"/>
      <c r="O12" s="119"/>
      <c r="P12" s="630"/>
      <c r="Q12" s="630"/>
      <c r="R12" s="630"/>
      <c r="S12" s="630"/>
      <c r="T12" s="630"/>
      <c r="U12" s="630"/>
      <c r="V12" s="630"/>
      <c r="W12" s="630"/>
      <c r="X12" s="630"/>
      <c r="Y12" s="630"/>
      <c r="Z12" s="630"/>
      <c r="AA12" s="630"/>
      <c r="AB12" s="630"/>
      <c r="AC12" s="630"/>
      <c r="AD12" s="630"/>
    </row>
    <row r="13" spans="1:30" s="1" customFormat="1" ht="15.6">
      <c r="A13" s="630"/>
      <c r="B13" s="648" t="s">
        <v>423</v>
      </c>
      <c r="C13" s="649" t="s">
        <v>59</v>
      </c>
      <c r="D13" s="650">
        <f>Startseite!D16</f>
        <v>45597</v>
      </c>
      <c r="E13" s="651">
        <f>D13+32</f>
        <v>45629</v>
      </c>
      <c r="F13" s="651">
        <f t="shared" ref="F13:O13" si="0">E13+31</f>
        <v>45660</v>
      </c>
      <c r="G13" s="651">
        <f t="shared" si="0"/>
        <v>45691</v>
      </c>
      <c r="H13" s="651">
        <f t="shared" si="0"/>
        <v>45722</v>
      </c>
      <c r="I13" s="651">
        <f t="shared" si="0"/>
        <v>45753</v>
      </c>
      <c r="J13" s="651">
        <f t="shared" si="0"/>
        <v>45784</v>
      </c>
      <c r="K13" s="651">
        <f t="shared" si="0"/>
        <v>45815</v>
      </c>
      <c r="L13" s="651">
        <f t="shared" si="0"/>
        <v>45846</v>
      </c>
      <c r="M13" s="651">
        <f t="shared" si="0"/>
        <v>45877</v>
      </c>
      <c r="N13" s="651">
        <f t="shared" si="0"/>
        <v>45908</v>
      </c>
      <c r="O13" s="651">
        <f t="shared" si="0"/>
        <v>45939</v>
      </c>
      <c r="P13" s="652" t="s">
        <v>60</v>
      </c>
      <c r="Q13" s="630"/>
      <c r="R13" s="630"/>
      <c r="S13" s="630"/>
      <c r="T13" s="630"/>
      <c r="U13" s="630"/>
      <c r="V13" s="630"/>
      <c r="W13" s="630"/>
      <c r="X13" s="630"/>
      <c r="Y13" s="630"/>
      <c r="Z13" s="630"/>
      <c r="AA13" s="630"/>
      <c r="AB13" s="630"/>
      <c r="AC13" s="630"/>
      <c r="AD13" s="630"/>
    </row>
    <row r="14" spans="1:30" s="1" customFormat="1" ht="15.6">
      <c r="A14" s="653" t="s">
        <v>61</v>
      </c>
      <c r="B14" s="648"/>
      <c r="C14" s="654">
        <f>Rentabilität!F22</f>
        <v>0</v>
      </c>
      <c r="D14" s="828">
        <f>$C14/12</f>
        <v>0</v>
      </c>
      <c r="E14" s="828">
        <f t="shared" ref="E14:O14" si="1">$C14/12</f>
        <v>0</v>
      </c>
      <c r="F14" s="828">
        <f t="shared" si="1"/>
        <v>0</v>
      </c>
      <c r="G14" s="828">
        <f t="shared" si="1"/>
        <v>0</v>
      </c>
      <c r="H14" s="828">
        <f t="shared" si="1"/>
        <v>0</v>
      </c>
      <c r="I14" s="828">
        <f t="shared" si="1"/>
        <v>0</v>
      </c>
      <c r="J14" s="828">
        <f t="shared" si="1"/>
        <v>0</v>
      </c>
      <c r="K14" s="828">
        <f t="shared" si="1"/>
        <v>0</v>
      </c>
      <c r="L14" s="828">
        <f t="shared" si="1"/>
        <v>0</v>
      </c>
      <c r="M14" s="828">
        <f t="shared" si="1"/>
        <v>0</v>
      </c>
      <c r="N14" s="828">
        <f t="shared" si="1"/>
        <v>0</v>
      </c>
      <c r="O14" s="828">
        <f t="shared" si="1"/>
        <v>0</v>
      </c>
      <c r="P14" s="655">
        <f>SUM(D14:O14)</f>
        <v>0</v>
      </c>
      <c r="Q14" s="656" t="str">
        <f>IF(AND(ABS(P14-C14)&gt;100,P14&lt;&gt;0),"Überprüfe Eintragung","")</f>
        <v/>
      </c>
      <c r="R14" s="630"/>
      <c r="S14" s="630"/>
      <c r="T14" s="630"/>
      <c r="U14" s="630"/>
      <c r="V14" s="630"/>
      <c r="W14" s="630"/>
      <c r="X14" s="630"/>
      <c r="Y14" s="630"/>
      <c r="Z14" s="630"/>
      <c r="AA14" s="630"/>
      <c r="AB14" s="630"/>
      <c r="AC14" s="630"/>
      <c r="AD14" s="630"/>
    </row>
    <row r="15" spans="1:30" s="1" customFormat="1" ht="15">
      <c r="A15" s="657" t="s">
        <v>62</v>
      </c>
      <c r="B15" s="658"/>
      <c r="C15" s="659">
        <f>IF(Hilfstabelle!B153="ja",Rentabilität!E12*Rentabilität!F12+Rentabilität!E13*Rentabilität!F13+Rentabilität!E14*Rentabilität!F14+Rentabilität!E15*Rentabilität!F15+Rentabilität!E16*Rentabilität!F16+Rentabilität!E17*Rentabilität!F17+Rentabilität!E18*Rentabilität!F18+Rentabilität!E19*Rentabilität!F19+Rentabilität!E20*Rentabilität!F20+Rentabilität!E21*Rentabilität!F21,0)</f>
        <v>0</v>
      </c>
      <c r="D15" s="660">
        <f>IF($C$14&gt;0,$C$15/$C$14*D14,0)</f>
        <v>0</v>
      </c>
      <c r="E15" s="660">
        <f t="shared" ref="E15:O15" si="2">IF($C$14&gt;0,$C$15/$C$14*E14,0)</f>
        <v>0</v>
      </c>
      <c r="F15" s="660">
        <f t="shared" si="2"/>
        <v>0</v>
      </c>
      <c r="G15" s="660">
        <f t="shared" si="2"/>
        <v>0</v>
      </c>
      <c r="H15" s="660">
        <f t="shared" si="2"/>
        <v>0</v>
      </c>
      <c r="I15" s="660">
        <f t="shared" si="2"/>
        <v>0</v>
      </c>
      <c r="J15" s="660">
        <f t="shared" si="2"/>
        <v>0</v>
      </c>
      <c r="K15" s="660">
        <f t="shared" si="2"/>
        <v>0</v>
      </c>
      <c r="L15" s="660">
        <f t="shared" si="2"/>
        <v>0</v>
      </c>
      <c r="M15" s="660">
        <f t="shared" si="2"/>
        <v>0</v>
      </c>
      <c r="N15" s="660">
        <f t="shared" si="2"/>
        <v>0</v>
      </c>
      <c r="O15" s="660">
        <f t="shared" si="2"/>
        <v>0</v>
      </c>
      <c r="P15" s="661">
        <f>SUM(D15:O15)</f>
        <v>0</v>
      </c>
      <c r="Q15" s="656"/>
      <c r="R15" s="630"/>
      <c r="S15" s="630"/>
      <c r="T15" s="630"/>
      <c r="U15" s="630"/>
      <c r="V15" s="630"/>
      <c r="W15" s="630"/>
      <c r="X15" s="630"/>
      <c r="Y15" s="630"/>
      <c r="Z15" s="630"/>
      <c r="AA15" s="630"/>
      <c r="AB15" s="630"/>
      <c r="AC15" s="630"/>
      <c r="AD15" s="630"/>
    </row>
    <row r="16" spans="1:30" s="1" customFormat="1" ht="15.6">
      <c r="A16" s="662"/>
      <c r="B16" s="663"/>
      <c r="C16" s="664"/>
      <c r="D16" s="731" t="str">
        <f>IF(Hilfstabelle!$B$153="nein","&lt;","")</f>
        <v/>
      </c>
      <c r="E16" s="731" t="str">
        <f>IF(Hilfstabelle!$B$153="nein","-","")</f>
        <v/>
      </c>
      <c r="F16" s="731" t="str">
        <f>IF(Hilfstabelle!$B$153="nein","-","")</f>
        <v/>
      </c>
      <c r="G16" s="731" t="str">
        <f>IF(Hilfstabelle!$B$153="nein","-","")</f>
        <v/>
      </c>
      <c r="H16" s="731" t="str">
        <f>IF(Hilfstabelle!$B$153="nein","-","")</f>
        <v/>
      </c>
      <c r="I16" s="1350" t="str">
        <f>IF(Hilfstabelle!$B$153="nein","Kleinunternehmerregelung","")</f>
        <v/>
      </c>
      <c r="J16" s="1350"/>
      <c r="K16" s="731" t="str">
        <f>IF(Hilfstabelle!$B$153="nein","-","")</f>
        <v/>
      </c>
      <c r="L16" s="731" t="str">
        <f>IF(Hilfstabelle!$B$153="nein","-","")</f>
        <v/>
      </c>
      <c r="M16" s="731" t="str">
        <f>IF(Hilfstabelle!$B$153="nein","-","")</f>
        <v/>
      </c>
      <c r="N16" s="731" t="str">
        <f>IF(Hilfstabelle!$B$153="nein","-","")</f>
        <v/>
      </c>
      <c r="O16" s="731" t="str">
        <f>IF(Hilfstabelle!$B$153="nein","&gt;","")</f>
        <v/>
      </c>
      <c r="P16" s="665"/>
      <c r="Q16" s="656"/>
      <c r="R16" s="630"/>
      <c r="S16" s="630"/>
      <c r="T16" s="630"/>
      <c r="U16" s="630"/>
      <c r="V16" s="630"/>
      <c r="W16" s="630"/>
      <c r="X16" s="630"/>
      <c r="Y16" s="630"/>
      <c r="Z16" s="630"/>
      <c r="AA16" s="630"/>
      <c r="AB16" s="630"/>
      <c r="AC16" s="630"/>
      <c r="AD16" s="630"/>
    </row>
    <row r="17" spans="1:30" s="1" customFormat="1" ht="15.6">
      <c r="A17" s="666" t="s">
        <v>63</v>
      </c>
      <c r="B17" s="667"/>
      <c r="C17" s="668"/>
      <c r="D17" s="669"/>
      <c r="E17" s="669"/>
      <c r="F17" s="669"/>
      <c r="G17" s="669"/>
      <c r="H17" s="669"/>
      <c r="I17" s="669"/>
      <c r="J17" s="669"/>
      <c r="K17" s="669"/>
      <c r="L17" s="669"/>
      <c r="M17" s="669"/>
      <c r="N17" s="669"/>
      <c r="O17" s="669"/>
      <c r="P17" s="669"/>
      <c r="Q17" s="656"/>
      <c r="R17" s="630"/>
      <c r="S17" s="630"/>
      <c r="T17" s="630"/>
      <c r="U17" s="630"/>
      <c r="V17" s="630"/>
      <c r="W17" s="630"/>
      <c r="X17" s="630"/>
      <c r="Y17" s="630"/>
      <c r="Z17" s="630"/>
      <c r="AA17" s="630"/>
      <c r="AB17" s="630"/>
      <c r="AC17" s="630"/>
      <c r="AD17" s="630"/>
    </row>
    <row r="18" spans="1:30" s="1" customFormat="1" ht="15">
      <c r="A18" s="670" t="s">
        <v>68</v>
      </c>
      <c r="B18" s="671"/>
      <c r="C18" s="672">
        <f>C14+C15</f>
        <v>0</v>
      </c>
      <c r="D18" s="673">
        <f>(D14+D15)*$B$7</f>
        <v>0</v>
      </c>
      <c r="E18" s="673">
        <f>(D14+D15)*B8+(E14+E15)*B7</f>
        <v>0</v>
      </c>
      <c r="F18" s="673">
        <f>(D14+D15)*$B$9+(E14+E15)*$B$8+(F14+F15)*$B$7</f>
        <v>0</v>
      </c>
      <c r="G18" s="673">
        <f t="shared" ref="G18:O18" si="3">(E14+E15)*$B$9+(F14+F15)*$B$8+(G14+G15)*$B$7</f>
        <v>0</v>
      </c>
      <c r="H18" s="673">
        <f t="shared" si="3"/>
        <v>0</v>
      </c>
      <c r="I18" s="673">
        <f t="shared" si="3"/>
        <v>0</v>
      </c>
      <c r="J18" s="673">
        <f t="shared" si="3"/>
        <v>0</v>
      </c>
      <c r="K18" s="673">
        <f t="shared" si="3"/>
        <v>0</v>
      </c>
      <c r="L18" s="673">
        <f t="shared" si="3"/>
        <v>0</v>
      </c>
      <c r="M18" s="673">
        <f t="shared" si="3"/>
        <v>0</v>
      </c>
      <c r="N18" s="673">
        <f t="shared" si="3"/>
        <v>0</v>
      </c>
      <c r="O18" s="673">
        <f t="shared" si="3"/>
        <v>0</v>
      </c>
      <c r="P18" s="674">
        <f>SUM(D18:O18)</f>
        <v>0</v>
      </c>
      <c r="Q18" s="656"/>
      <c r="R18" s="630"/>
      <c r="S18" s="630"/>
      <c r="T18" s="630"/>
      <c r="U18" s="630"/>
      <c r="V18" s="630"/>
      <c r="W18" s="630"/>
      <c r="X18" s="630"/>
      <c r="Y18" s="630"/>
      <c r="Z18" s="630"/>
      <c r="AA18" s="630"/>
      <c r="AB18" s="630"/>
      <c r="AC18" s="630"/>
      <c r="AD18" s="630"/>
    </row>
    <row r="19" spans="1:30" s="1" customFormat="1" ht="15">
      <c r="A19" s="657" t="s">
        <v>64</v>
      </c>
      <c r="B19" s="658"/>
      <c r="C19" s="828">
        <f>Finanzierung!C11+Finanzierung!C12+Finanzierung!C26+Finanzierung!C36</f>
        <v>0</v>
      </c>
      <c r="D19" s="828">
        <f>C19-Finanzierung!C34</f>
        <v>0</v>
      </c>
      <c r="E19" s="828"/>
      <c r="F19" s="828">
        <f>IF(Finanzierung!C34&gt;0,Finanzierung!C34,0)</f>
        <v>0</v>
      </c>
      <c r="G19" s="828"/>
      <c r="H19" s="828"/>
      <c r="I19" s="828"/>
      <c r="J19" s="828"/>
      <c r="K19" s="828"/>
      <c r="L19" s="828"/>
      <c r="M19" s="828"/>
      <c r="N19" s="828"/>
      <c r="O19" s="828"/>
      <c r="P19" s="675">
        <f>SUM(D19:O19)</f>
        <v>0</v>
      </c>
      <c r="Q19" s="656" t="str">
        <f>IF(ABS(P19-C19)&gt;100,"Überprüfe Eintragung","")</f>
        <v/>
      </c>
      <c r="R19" s="630"/>
      <c r="S19" s="630"/>
      <c r="T19" s="630"/>
      <c r="U19" s="630"/>
      <c r="V19" s="630"/>
      <c r="W19" s="630"/>
      <c r="X19" s="630"/>
      <c r="Y19" s="630"/>
      <c r="Z19" s="630"/>
      <c r="AA19" s="630"/>
      <c r="AB19" s="630"/>
      <c r="AC19" s="630"/>
      <c r="AD19" s="630"/>
    </row>
    <row r="20" spans="1:30" s="1" customFormat="1" ht="16.2" thickBot="1">
      <c r="A20" s="653"/>
      <c r="B20" s="648"/>
      <c r="C20" s="654">
        <f>B20</f>
        <v>0</v>
      </c>
      <c r="D20" s="660"/>
      <c r="E20" s="660"/>
      <c r="F20" s="660"/>
      <c r="G20" s="660"/>
      <c r="H20" s="660"/>
      <c r="I20" s="660"/>
      <c r="J20" s="660"/>
      <c r="K20" s="660"/>
      <c r="L20" s="660"/>
      <c r="M20" s="660"/>
      <c r="N20" s="660"/>
      <c r="O20" s="676"/>
      <c r="P20" s="675"/>
      <c r="Q20" s="656"/>
      <c r="R20" s="630"/>
      <c r="S20" s="630"/>
      <c r="T20" s="630"/>
      <c r="U20" s="630"/>
      <c r="V20" s="630"/>
      <c r="W20" s="630"/>
      <c r="X20" s="630"/>
      <c r="Y20" s="630"/>
      <c r="Z20" s="630"/>
      <c r="AA20" s="630"/>
      <c r="AB20" s="630"/>
      <c r="AC20" s="630"/>
      <c r="AD20" s="630"/>
    </row>
    <row r="21" spans="1:30" s="1" customFormat="1" ht="16.8" thickTop="1" thickBot="1">
      <c r="A21" s="677" t="s">
        <v>190</v>
      </c>
      <c r="B21" s="678"/>
      <c r="C21" s="679"/>
      <c r="D21" s="680">
        <f>D18+D19</f>
        <v>0</v>
      </c>
      <c r="E21" s="680">
        <f t="shared" ref="E21:O21" si="4">E18+E19</f>
        <v>0</v>
      </c>
      <c r="F21" s="680">
        <f t="shared" si="4"/>
        <v>0</v>
      </c>
      <c r="G21" s="680">
        <f t="shared" si="4"/>
        <v>0</v>
      </c>
      <c r="H21" s="680">
        <f t="shared" si="4"/>
        <v>0</v>
      </c>
      <c r="I21" s="680">
        <f t="shared" si="4"/>
        <v>0</v>
      </c>
      <c r="J21" s="680">
        <f t="shared" si="4"/>
        <v>0</v>
      </c>
      <c r="K21" s="680">
        <f t="shared" si="4"/>
        <v>0</v>
      </c>
      <c r="L21" s="680">
        <f t="shared" si="4"/>
        <v>0</v>
      </c>
      <c r="M21" s="680">
        <f t="shared" si="4"/>
        <v>0</v>
      </c>
      <c r="N21" s="680">
        <f t="shared" si="4"/>
        <v>0</v>
      </c>
      <c r="O21" s="680">
        <f t="shared" si="4"/>
        <v>0</v>
      </c>
      <c r="P21" s="681">
        <f>SUM(D21:O21)</f>
        <v>0</v>
      </c>
      <c r="Q21" s="656"/>
      <c r="R21" s="630"/>
      <c r="S21" s="630"/>
      <c r="T21" s="630"/>
      <c r="U21" s="630"/>
      <c r="V21" s="630"/>
      <c r="W21" s="630"/>
      <c r="X21" s="630"/>
      <c r="Y21" s="630"/>
      <c r="Z21" s="630"/>
      <c r="AA21" s="630"/>
      <c r="AB21" s="630"/>
      <c r="AC21" s="630"/>
      <c r="AD21" s="630"/>
    </row>
    <row r="22" spans="1:30" s="1" customFormat="1" ht="15.6" thickTop="1">
      <c r="A22" s="630"/>
      <c r="B22" s="682"/>
      <c r="C22" s="683"/>
      <c r="D22" s="684"/>
      <c r="E22" s="684"/>
      <c r="F22" s="684"/>
      <c r="G22" s="684"/>
      <c r="H22" s="684"/>
      <c r="I22" s="684"/>
      <c r="J22" s="684"/>
      <c r="K22" s="684"/>
      <c r="L22" s="684"/>
      <c r="M22" s="684"/>
      <c r="N22" s="684"/>
      <c r="O22" s="684"/>
      <c r="P22" s="684"/>
      <c r="Q22" s="656"/>
      <c r="R22" s="630"/>
      <c r="S22" s="630"/>
      <c r="T22" s="630"/>
      <c r="U22" s="630"/>
      <c r="V22" s="630"/>
      <c r="W22" s="630"/>
      <c r="X22" s="630"/>
      <c r="Y22" s="630"/>
      <c r="Z22" s="630"/>
      <c r="AA22" s="630"/>
      <c r="AB22" s="630"/>
      <c r="AC22" s="630"/>
      <c r="AD22" s="630"/>
    </row>
    <row r="23" spans="1:30" s="1" customFormat="1" ht="15.6">
      <c r="A23" s="666" t="s">
        <v>105</v>
      </c>
      <c r="B23" s="667"/>
      <c r="C23" s="668"/>
      <c r="D23" s="685"/>
      <c r="E23" s="685"/>
      <c r="F23" s="685"/>
      <c r="G23" s="685"/>
      <c r="H23" s="685"/>
      <c r="I23" s="685"/>
      <c r="J23" s="685"/>
      <c r="K23" s="685"/>
      <c r="L23" s="685"/>
      <c r="M23" s="685"/>
      <c r="N23" s="685"/>
      <c r="O23" s="685"/>
      <c r="P23" s="684"/>
      <c r="Q23" s="656"/>
      <c r="R23" s="630"/>
      <c r="S23" s="630"/>
      <c r="T23" s="630"/>
      <c r="U23" s="630"/>
      <c r="V23" s="630"/>
      <c r="W23" s="630"/>
      <c r="X23" s="630"/>
      <c r="Y23" s="630"/>
      <c r="Z23" s="630"/>
      <c r="AA23" s="630"/>
      <c r="AB23" s="630"/>
      <c r="AC23" s="630"/>
      <c r="AD23" s="630"/>
    </row>
    <row r="24" spans="1:30" s="1" customFormat="1" ht="17.25" customHeight="1">
      <c r="A24" s="657" t="s">
        <v>82</v>
      </c>
      <c r="B24" s="658" t="s">
        <v>81</v>
      </c>
      <c r="C24" s="659">
        <f>Rentabilität!F34</f>
        <v>0</v>
      </c>
      <c r="D24" s="828">
        <f>D14*Rentabilität!$G34/100</f>
        <v>0</v>
      </c>
      <c r="E24" s="828">
        <f>E14*Rentabilität!$G34/100</f>
        <v>0</v>
      </c>
      <c r="F24" s="828">
        <f>F14*Rentabilität!$G34/100</f>
        <v>0</v>
      </c>
      <c r="G24" s="828">
        <f>G14*Rentabilität!$G34/100</f>
        <v>0</v>
      </c>
      <c r="H24" s="828">
        <f>H14*Rentabilität!$G34/100</f>
        <v>0</v>
      </c>
      <c r="I24" s="828">
        <f>I14*Rentabilität!$G34/100</f>
        <v>0</v>
      </c>
      <c r="J24" s="828">
        <f>J14*Rentabilität!$G34/100</f>
        <v>0</v>
      </c>
      <c r="K24" s="828">
        <f>K14*Rentabilität!$G34/100</f>
        <v>0</v>
      </c>
      <c r="L24" s="828">
        <f>L14*Rentabilität!$G34/100</f>
        <v>0</v>
      </c>
      <c r="M24" s="828">
        <f>M14*Rentabilität!$G34/100</f>
        <v>0</v>
      </c>
      <c r="N24" s="828">
        <f>N14*Rentabilität!$G34/100</f>
        <v>0</v>
      </c>
      <c r="O24" s="828">
        <f>O14*Rentabilität!$G34/100</f>
        <v>0</v>
      </c>
      <c r="P24" s="675">
        <f t="shared" ref="P24:P32" si="5">SUM(D24:O24)</f>
        <v>0</v>
      </c>
      <c r="Q24" s="656" t="str">
        <f t="shared" ref="Q24:Q43" si="6">IF(AND(ABS(P24-C24)&gt;50,P24&lt;&gt;0),"Überprüfe Eintragung","")</f>
        <v/>
      </c>
      <c r="R24" s="630"/>
      <c r="S24" s="630"/>
      <c r="T24" s="630"/>
      <c r="U24" s="630"/>
      <c r="V24" s="630"/>
      <c r="W24" s="630"/>
      <c r="X24" s="630"/>
      <c r="Y24" s="630"/>
      <c r="Z24" s="630"/>
      <c r="AA24" s="630"/>
      <c r="AB24" s="630"/>
      <c r="AC24" s="630"/>
      <c r="AD24" s="630"/>
    </row>
    <row r="25" spans="1:30" s="1" customFormat="1" ht="17.25" customHeight="1">
      <c r="A25" s="657" t="s">
        <v>83</v>
      </c>
      <c r="B25" s="658" t="s">
        <v>81</v>
      </c>
      <c r="C25" s="659">
        <f>Rentabilität!F23</f>
        <v>0</v>
      </c>
      <c r="D25" s="828">
        <f>D14*Rentabilität!$G23/100</f>
        <v>0</v>
      </c>
      <c r="E25" s="828">
        <f>E14*Rentabilität!$G23/100</f>
        <v>0</v>
      </c>
      <c r="F25" s="828">
        <f>F14*Rentabilität!$G23/100</f>
        <v>0</v>
      </c>
      <c r="G25" s="828">
        <f>G14*Rentabilität!$G23/100</f>
        <v>0</v>
      </c>
      <c r="H25" s="828">
        <f>H14*Rentabilität!$G23/100</f>
        <v>0</v>
      </c>
      <c r="I25" s="828">
        <f>I14*Rentabilität!$G23/100</f>
        <v>0</v>
      </c>
      <c r="J25" s="828">
        <f>J14*Rentabilität!$G23/100</f>
        <v>0</v>
      </c>
      <c r="K25" s="828">
        <f>K14*Rentabilität!$G23/100</f>
        <v>0</v>
      </c>
      <c r="L25" s="828">
        <f>L14*Rentabilität!$G23/100</f>
        <v>0</v>
      </c>
      <c r="M25" s="828">
        <f>M14*Rentabilität!$G23/100</f>
        <v>0</v>
      </c>
      <c r="N25" s="828">
        <f>N14*Rentabilität!$G23/100</f>
        <v>0</v>
      </c>
      <c r="O25" s="828">
        <f>O14*Rentabilität!$G23/100</f>
        <v>0</v>
      </c>
      <c r="P25" s="675">
        <f t="shared" si="5"/>
        <v>0</v>
      </c>
      <c r="Q25" s="656" t="str">
        <f t="shared" si="6"/>
        <v/>
      </c>
      <c r="R25" s="630"/>
      <c r="S25" s="630"/>
      <c r="T25" s="630"/>
      <c r="U25" s="630"/>
      <c r="V25" s="630"/>
      <c r="W25" s="630"/>
      <c r="X25" s="630"/>
      <c r="Y25" s="630"/>
      <c r="Z25" s="630"/>
      <c r="AA25" s="630"/>
      <c r="AB25" s="630"/>
      <c r="AC25" s="630"/>
      <c r="AD25" s="630"/>
    </row>
    <row r="26" spans="1:30" s="1" customFormat="1" ht="17.25" customHeight="1">
      <c r="A26" s="670" t="s">
        <v>123</v>
      </c>
      <c r="B26" s="671" t="s">
        <v>80</v>
      </c>
      <c r="C26" s="672">
        <f>Rentabilität!F36</f>
        <v>0</v>
      </c>
      <c r="D26" s="829">
        <f>Hilfstabelle!B29</f>
        <v>0</v>
      </c>
      <c r="E26" s="829">
        <f>Hilfstabelle!C29</f>
        <v>0</v>
      </c>
      <c r="F26" s="829">
        <f>Hilfstabelle!D29</f>
        <v>0</v>
      </c>
      <c r="G26" s="829">
        <f>Hilfstabelle!E29</f>
        <v>0</v>
      </c>
      <c r="H26" s="829">
        <f>Hilfstabelle!F29</f>
        <v>0</v>
      </c>
      <c r="I26" s="829">
        <f>Hilfstabelle!G29</f>
        <v>0</v>
      </c>
      <c r="J26" s="829">
        <f>Hilfstabelle!H29</f>
        <v>0</v>
      </c>
      <c r="K26" s="829">
        <f>Hilfstabelle!I29</f>
        <v>0</v>
      </c>
      <c r="L26" s="829">
        <f>Hilfstabelle!J29</f>
        <v>0</v>
      </c>
      <c r="M26" s="829">
        <f>Hilfstabelle!K29</f>
        <v>0</v>
      </c>
      <c r="N26" s="829">
        <f>Hilfstabelle!L29</f>
        <v>0</v>
      </c>
      <c r="O26" s="829">
        <f>Hilfstabelle!M29</f>
        <v>0</v>
      </c>
      <c r="P26" s="675">
        <f t="shared" si="5"/>
        <v>0</v>
      </c>
      <c r="Q26" s="656" t="str">
        <f t="shared" si="6"/>
        <v/>
      </c>
      <c r="R26" s="630"/>
      <c r="S26" s="630"/>
      <c r="T26" s="630"/>
      <c r="U26" s="630"/>
      <c r="V26" s="630"/>
      <c r="W26" s="630"/>
      <c r="X26" s="630"/>
      <c r="Y26" s="630"/>
      <c r="Z26" s="630"/>
      <c r="AA26" s="630"/>
      <c r="AB26" s="630"/>
      <c r="AC26" s="630"/>
      <c r="AD26" s="630"/>
    </row>
    <row r="27" spans="1:30" s="1" customFormat="1" ht="17.25" customHeight="1">
      <c r="A27" s="657" t="str">
        <f>'übrige Kosten'!A10</f>
        <v>Raumkosten (Miete, Pacht)</v>
      </c>
      <c r="B27" s="878" t="s">
        <v>80</v>
      </c>
      <c r="C27" s="659">
        <f>'übrige Kosten'!C10</f>
        <v>0</v>
      </c>
      <c r="D27" s="828">
        <f>$C27/12</f>
        <v>0</v>
      </c>
      <c r="E27" s="828">
        <f t="shared" ref="E27:O42" si="7">$C27/12</f>
        <v>0</v>
      </c>
      <c r="F27" s="828">
        <f t="shared" si="7"/>
        <v>0</v>
      </c>
      <c r="G27" s="828">
        <f t="shared" si="7"/>
        <v>0</v>
      </c>
      <c r="H27" s="828">
        <f t="shared" si="7"/>
        <v>0</v>
      </c>
      <c r="I27" s="828">
        <f t="shared" si="7"/>
        <v>0</v>
      </c>
      <c r="J27" s="828">
        <f t="shared" si="7"/>
        <v>0</v>
      </c>
      <c r="K27" s="828">
        <f t="shared" si="7"/>
        <v>0</v>
      </c>
      <c r="L27" s="828">
        <f t="shared" si="7"/>
        <v>0</v>
      </c>
      <c r="M27" s="828">
        <f t="shared" si="7"/>
        <v>0</v>
      </c>
      <c r="N27" s="828">
        <f t="shared" si="7"/>
        <v>0</v>
      </c>
      <c r="O27" s="828">
        <f t="shared" si="7"/>
        <v>0</v>
      </c>
      <c r="P27" s="675">
        <f t="shared" si="5"/>
        <v>0</v>
      </c>
      <c r="Q27" s="656" t="str">
        <f t="shared" si="6"/>
        <v/>
      </c>
      <c r="R27" s="630"/>
      <c r="S27" s="630"/>
      <c r="T27" s="630"/>
      <c r="U27" s="630"/>
      <c r="V27" s="630"/>
      <c r="W27" s="630"/>
      <c r="X27" s="630"/>
      <c r="Y27" s="630"/>
      <c r="Z27" s="630"/>
      <c r="AA27" s="630"/>
      <c r="AB27" s="630"/>
      <c r="AC27" s="630"/>
      <c r="AD27" s="630"/>
    </row>
    <row r="28" spans="1:30" s="1" customFormat="1" ht="17.25" customHeight="1">
      <c r="A28" s="657" t="str">
        <f>'übrige Kosten'!A11</f>
        <v>Energiekosten (Strom, Heizung, Wasser)</v>
      </c>
      <c r="B28" s="658" t="s">
        <v>81</v>
      </c>
      <c r="C28" s="659">
        <f>'übrige Kosten'!C11</f>
        <v>0</v>
      </c>
      <c r="D28" s="828">
        <f>($C28/12)</f>
        <v>0</v>
      </c>
      <c r="E28" s="828">
        <f t="shared" si="7"/>
        <v>0</v>
      </c>
      <c r="F28" s="828">
        <f t="shared" si="7"/>
        <v>0</v>
      </c>
      <c r="G28" s="828">
        <f t="shared" si="7"/>
        <v>0</v>
      </c>
      <c r="H28" s="828">
        <f t="shared" si="7"/>
        <v>0</v>
      </c>
      <c r="I28" s="828">
        <f t="shared" si="7"/>
        <v>0</v>
      </c>
      <c r="J28" s="828">
        <f t="shared" si="7"/>
        <v>0</v>
      </c>
      <c r="K28" s="828">
        <f t="shared" si="7"/>
        <v>0</v>
      </c>
      <c r="L28" s="828">
        <f t="shared" si="7"/>
        <v>0</v>
      </c>
      <c r="M28" s="828">
        <f t="shared" si="7"/>
        <v>0</v>
      </c>
      <c r="N28" s="828">
        <f t="shared" si="7"/>
        <v>0</v>
      </c>
      <c r="O28" s="828">
        <f t="shared" si="7"/>
        <v>0</v>
      </c>
      <c r="P28" s="675">
        <f t="shared" si="5"/>
        <v>0</v>
      </c>
      <c r="Q28" s="656" t="str">
        <f t="shared" si="6"/>
        <v/>
      </c>
      <c r="R28" s="630"/>
      <c r="S28" s="630"/>
      <c r="T28" s="630"/>
      <c r="U28" s="630"/>
      <c r="V28" s="630"/>
      <c r="W28" s="630"/>
      <c r="X28" s="630"/>
      <c r="Y28" s="630"/>
      <c r="Z28" s="630"/>
      <c r="AA28" s="630"/>
      <c r="AB28" s="630"/>
      <c r="AC28" s="630"/>
      <c r="AD28" s="630"/>
    </row>
    <row r="29" spans="1:30" s="1" customFormat="1" ht="17.25" customHeight="1">
      <c r="A29" s="657" t="str">
        <f>'übrige Kosten'!A12</f>
        <v>Versicherung, Beiträge</v>
      </c>
      <c r="B29" s="658" t="s">
        <v>80</v>
      </c>
      <c r="C29" s="659">
        <f>'übrige Kosten'!C12</f>
        <v>0</v>
      </c>
      <c r="D29" s="828">
        <f t="shared" ref="D29:D40" si="8">$C29/12</f>
        <v>0</v>
      </c>
      <c r="E29" s="828">
        <f t="shared" si="7"/>
        <v>0</v>
      </c>
      <c r="F29" s="828">
        <f t="shared" si="7"/>
        <v>0</v>
      </c>
      <c r="G29" s="828">
        <f t="shared" si="7"/>
        <v>0</v>
      </c>
      <c r="H29" s="828">
        <f t="shared" si="7"/>
        <v>0</v>
      </c>
      <c r="I29" s="828">
        <f t="shared" si="7"/>
        <v>0</v>
      </c>
      <c r="J29" s="828">
        <f t="shared" si="7"/>
        <v>0</v>
      </c>
      <c r="K29" s="828">
        <f t="shared" si="7"/>
        <v>0</v>
      </c>
      <c r="L29" s="828">
        <f t="shared" si="7"/>
        <v>0</v>
      </c>
      <c r="M29" s="828">
        <f t="shared" si="7"/>
        <v>0</v>
      </c>
      <c r="N29" s="828">
        <f t="shared" si="7"/>
        <v>0</v>
      </c>
      <c r="O29" s="828">
        <f t="shared" si="7"/>
        <v>0</v>
      </c>
      <c r="P29" s="675">
        <f t="shared" si="5"/>
        <v>0</v>
      </c>
      <c r="Q29" s="656" t="str">
        <f t="shared" si="6"/>
        <v/>
      </c>
      <c r="R29" s="630"/>
      <c r="S29" s="630"/>
      <c r="T29" s="630"/>
      <c r="U29" s="630"/>
      <c r="V29" s="630"/>
      <c r="W29" s="630"/>
      <c r="X29" s="630"/>
      <c r="Y29" s="630"/>
      <c r="Z29" s="630"/>
      <c r="AA29" s="630"/>
      <c r="AB29" s="630"/>
      <c r="AC29" s="630"/>
      <c r="AD29" s="630"/>
    </row>
    <row r="30" spans="1:30" s="1" customFormat="1" ht="17.25" customHeight="1">
      <c r="A30" s="657" t="str">
        <f>'übrige Kosten'!A13</f>
        <v>Kfz-Kosten (incl. Leasing, Steuern, Vers., Rep., ohne AfA)</v>
      </c>
      <c r="B30" s="658" t="s">
        <v>81</v>
      </c>
      <c r="C30" s="659">
        <f>'übrige Kosten'!C13</f>
        <v>0</v>
      </c>
      <c r="D30" s="828">
        <f t="shared" si="8"/>
        <v>0</v>
      </c>
      <c r="E30" s="828">
        <f t="shared" si="7"/>
        <v>0</v>
      </c>
      <c r="F30" s="828">
        <f t="shared" si="7"/>
        <v>0</v>
      </c>
      <c r="G30" s="828">
        <f t="shared" si="7"/>
        <v>0</v>
      </c>
      <c r="H30" s="828">
        <f t="shared" si="7"/>
        <v>0</v>
      </c>
      <c r="I30" s="828">
        <f t="shared" si="7"/>
        <v>0</v>
      </c>
      <c r="J30" s="828">
        <f t="shared" si="7"/>
        <v>0</v>
      </c>
      <c r="K30" s="828">
        <f t="shared" si="7"/>
        <v>0</v>
      </c>
      <c r="L30" s="828">
        <f t="shared" si="7"/>
        <v>0</v>
      </c>
      <c r="M30" s="828">
        <f t="shared" si="7"/>
        <v>0</v>
      </c>
      <c r="N30" s="828">
        <f t="shared" si="7"/>
        <v>0</v>
      </c>
      <c r="O30" s="828">
        <f t="shared" si="7"/>
        <v>0</v>
      </c>
      <c r="P30" s="675">
        <f t="shared" si="5"/>
        <v>0</v>
      </c>
      <c r="Q30" s="656" t="str">
        <f t="shared" si="6"/>
        <v/>
      </c>
      <c r="R30" s="630"/>
      <c r="S30" s="630"/>
      <c r="T30" s="630"/>
      <c r="U30" s="630"/>
      <c r="V30" s="630"/>
      <c r="W30" s="630"/>
      <c r="X30" s="630"/>
      <c r="Y30" s="630"/>
      <c r="Z30" s="630"/>
      <c r="AA30" s="630"/>
      <c r="AB30" s="630"/>
      <c r="AC30" s="630"/>
      <c r="AD30" s="630"/>
    </row>
    <row r="31" spans="1:30" s="1" customFormat="1" ht="17.25" customHeight="1">
      <c r="A31" s="657" t="str">
        <f>'übrige Kosten'!A14</f>
        <v>Werbung  / Reisekosten</v>
      </c>
      <c r="B31" s="658" t="s">
        <v>81</v>
      </c>
      <c r="C31" s="659">
        <f>'übrige Kosten'!C14</f>
        <v>0</v>
      </c>
      <c r="D31" s="828">
        <f t="shared" si="8"/>
        <v>0</v>
      </c>
      <c r="E31" s="828">
        <f t="shared" si="7"/>
        <v>0</v>
      </c>
      <c r="F31" s="828">
        <f t="shared" si="7"/>
        <v>0</v>
      </c>
      <c r="G31" s="828">
        <f t="shared" si="7"/>
        <v>0</v>
      </c>
      <c r="H31" s="828">
        <f t="shared" si="7"/>
        <v>0</v>
      </c>
      <c r="I31" s="828">
        <f t="shared" si="7"/>
        <v>0</v>
      </c>
      <c r="J31" s="828">
        <f t="shared" si="7"/>
        <v>0</v>
      </c>
      <c r="K31" s="828">
        <f t="shared" si="7"/>
        <v>0</v>
      </c>
      <c r="L31" s="828">
        <f t="shared" si="7"/>
        <v>0</v>
      </c>
      <c r="M31" s="828">
        <f t="shared" si="7"/>
        <v>0</v>
      </c>
      <c r="N31" s="828">
        <f t="shared" si="7"/>
        <v>0</v>
      </c>
      <c r="O31" s="828">
        <f t="shared" si="7"/>
        <v>0</v>
      </c>
      <c r="P31" s="675">
        <f t="shared" si="5"/>
        <v>0</v>
      </c>
      <c r="Q31" s="656" t="str">
        <f t="shared" si="6"/>
        <v/>
      </c>
      <c r="R31" s="630"/>
      <c r="S31" s="630"/>
      <c r="T31" s="630"/>
      <c r="U31" s="630"/>
      <c r="V31" s="630"/>
      <c r="W31" s="630"/>
      <c r="X31" s="630"/>
      <c r="Y31" s="630"/>
      <c r="Z31" s="630"/>
      <c r="AA31" s="630"/>
      <c r="AB31" s="630"/>
      <c r="AC31" s="630"/>
      <c r="AD31" s="630"/>
    </row>
    <row r="32" spans="1:30" s="1" customFormat="1" ht="17.25" customHeight="1">
      <c r="A32" s="657" t="str">
        <f>'übrige Kosten'!A15</f>
        <v>Kosten der Warenabgabe (incl.  Gewährleistungen)</v>
      </c>
      <c r="B32" s="658" t="s">
        <v>81</v>
      </c>
      <c r="C32" s="659">
        <f>'übrige Kosten'!C15</f>
        <v>0</v>
      </c>
      <c r="D32" s="828">
        <f t="shared" si="8"/>
        <v>0</v>
      </c>
      <c r="E32" s="828">
        <f t="shared" si="7"/>
        <v>0</v>
      </c>
      <c r="F32" s="828">
        <f t="shared" si="7"/>
        <v>0</v>
      </c>
      <c r="G32" s="828">
        <f t="shared" si="7"/>
        <v>0</v>
      </c>
      <c r="H32" s="828">
        <f t="shared" si="7"/>
        <v>0</v>
      </c>
      <c r="I32" s="828">
        <f t="shared" si="7"/>
        <v>0</v>
      </c>
      <c r="J32" s="828">
        <f t="shared" si="7"/>
        <v>0</v>
      </c>
      <c r="K32" s="828">
        <f t="shared" si="7"/>
        <v>0</v>
      </c>
      <c r="L32" s="828">
        <f t="shared" si="7"/>
        <v>0</v>
      </c>
      <c r="M32" s="828">
        <f t="shared" si="7"/>
        <v>0</v>
      </c>
      <c r="N32" s="828">
        <f t="shared" si="7"/>
        <v>0</v>
      </c>
      <c r="O32" s="828">
        <f t="shared" si="7"/>
        <v>0</v>
      </c>
      <c r="P32" s="675">
        <f t="shared" si="5"/>
        <v>0</v>
      </c>
      <c r="Q32" s="656" t="str">
        <f t="shared" si="6"/>
        <v/>
      </c>
      <c r="R32" s="630"/>
      <c r="S32" s="630"/>
      <c r="T32" s="630"/>
      <c r="U32" s="630"/>
      <c r="V32" s="630"/>
      <c r="W32" s="630"/>
      <c r="X32" s="630"/>
      <c r="Y32" s="630"/>
      <c r="Z32" s="630"/>
      <c r="AA32" s="630"/>
      <c r="AB32" s="630"/>
      <c r="AC32" s="630"/>
      <c r="AD32" s="630"/>
    </row>
    <row r="33" spans="1:30" s="1" customFormat="1" ht="17.25" customHeight="1">
      <c r="A33" s="657" t="str">
        <f>'übrige Kosten'!A17</f>
        <v>Reparaturen, Instandhaltung</v>
      </c>
      <c r="B33" s="658" t="s">
        <v>81</v>
      </c>
      <c r="C33" s="659">
        <f>'übrige Kosten'!C17</f>
        <v>0</v>
      </c>
      <c r="D33" s="828">
        <f t="shared" si="8"/>
        <v>0</v>
      </c>
      <c r="E33" s="828">
        <f t="shared" si="7"/>
        <v>0</v>
      </c>
      <c r="F33" s="828">
        <f t="shared" si="7"/>
        <v>0</v>
      </c>
      <c r="G33" s="828">
        <f t="shared" si="7"/>
        <v>0</v>
      </c>
      <c r="H33" s="828">
        <f t="shared" si="7"/>
        <v>0</v>
      </c>
      <c r="I33" s="828">
        <f t="shared" si="7"/>
        <v>0</v>
      </c>
      <c r="J33" s="828">
        <f t="shared" si="7"/>
        <v>0</v>
      </c>
      <c r="K33" s="828">
        <f t="shared" si="7"/>
        <v>0</v>
      </c>
      <c r="L33" s="828">
        <f t="shared" si="7"/>
        <v>0</v>
      </c>
      <c r="M33" s="828">
        <f t="shared" si="7"/>
        <v>0</v>
      </c>
      <c r="N33" s="828">
        <f t="shared" si="7"/>
        <v>0</v>
      </c>
      <c r="O33" s="828">
        <f t="shared" si="7"/>
        <v>0</v>
      </c>
      <c r="P33" s="675">
        <f t="shared" ref="P33:P53" si="9">SUM(D33:O33)</f>
        <v>0</v>
      </c>
      <c r="Q33" s="656" t="str">
        <f t="shared" si="6"/>
        <v/>
      </c>
      <c r="R33" s="630"/>
      <c r="S33" s="630"/>
      <c r="T33" s="630"/>
      <c r="U33" s="630"/>
      <c r="V33" s="630"/>
      <c r="W33" s="630"/>
      <c r="X33" s="630"/>
      <c r="Y33" s="630"/>
      <c r="Z33" s="630"/>
      <c r="AA33" s="630"/>
      <c r="AB33" s="630"/>
      <c r="AC33" s="630"/>
      <c r="AD33" s="630"/>
    </row>
    <row r="34" spans="1:30" s="1" customFormat="1" ht="17.25" customHeight="1" outlineLevel="1">
      <c r="A34" s="657" t="str">
        <f>'übrige Kosten'!A18</f>
        <v>Büro (Telefon, Telefax, Internet)</v>
      </c>
      <c r="B34" s="658" t="s">
        <v>81</v>
      </c>
      <c r="C34" s="659">
        <f>'übrige Kosten'!C18</f>
        <v>0</v>
      </c>
      <c r="D34" s="828">
        <f t="shared" si="8"/>
        <v>0</v>
      </c>
      <c r="E34" s="828">
        <f t="shared" si="7"/>
        <v>0</v>
      </c>
      <c r="F34" s="828">
        <f t="shared" si="7"/>
        <v>0</v>
      </c>
      <c r="G34" s="828">
        <f t="shared" si="7"/>
        <v>0</v>
      </c>
      <c r="H34" s="828">
        <f t="shared" si="7"/>
        <v>0</v>
      </c>
      <c r="I34" s="828">
        <f t="shared" si="7"/>
        <v>0</v>
      </c>
      <c r="J34" s="828">
        <f t="shared" si="7"/>
        <v>0</v>
      </c>
      <c r="K34" s="828">
        <f t="shared" si="7"/>
        <v>0</v>
      </c>
      <c r="L34" s="828">
        <f t="shared" si="7"/>
        <v>0</v>
      </c>
      <c r="M34" s="828">
        <f t="shared" si="7"/>
        <v>0</v>
      </c>
      <c r="N34" s="828">
        <f t="shared" si="7"/>
        <v>0</v>
      </c>
      <c r="O34" s="828">
        <f t="shared" si="7"/>
        <v>0</v>
      </c>
      <c r="P34" s="675">
        <f t="shared" si="9"/>
        <v>0</v>
      </c>
      <c r="Q34" s="656" t="str">
        <f t="shared" si="6"/>
        <v/>
      </c>
      <c r="R34" s="630"/>
      <c r="S34" s="630"/>
      <c r="T34" s="630"/>
      <c r="U34" s="630"/>
      <c r="V34" s="630"/>
      <c r="W34" s="630"/>
      <c r="X34" s="630"/>
      <c r="Y34" s="630"/>
      <c r="Z34" s="630"/>
      <c r="AA34" s="630"/>
      <c r="AB34" s="630"/>
      <c r="AC34" s="630"/>
      <c r="AD34" s="630"/>
    </row>
    <row r="35" spans="1:30" s="1" customFormat="1" ht="17.25" customHeight="1" outlineLevel="1">
      <c r="A35" s="657" t="str">
        <f>'übrige Kosten'!A19</f>
        <v>Büro (Porto, Zeitschriften, sonst. Bürobedarf)</v>
      </c>
      <c r="B35" s="658" t="s">
        <v>81</v>
      </c>
      <c r="C35" s="659">
        <f>'übrige Kosten'!C19</f>
        <v>0</v>
      </c>
      <c r="D35" s="828">
        <f t="shared" si="8"/>
        <v>0</v>
      </c>
      <c r="E35" s="828">
        <f t="shared" si="7"/>
        <v>0</v>
      </c>
      <c r="F35" s="828">
        <f t="shared" si="7"/>
        <v>0</v>
      </c>
      <c r="G35" s="828">
        <f t="shared" si="7"/>
        <v>0</v>
      </c>
      <c r="H35" s="828">
        <f t="shared" si="7"/>
        <v>0</v>
      </c>
      <c r="I35" s="828">
        <f t="shared" si="7"/>
        <v>0</v>
      </c>
      <c r="J35" s="828">
        <f t="shared" si="7"/>
        <v>0</v>
      </c>
      <c r="K35" s="828">
        <f t="shared" si="7"/>
        <v>0</v>
      </c>
      <c r="L35" s="828">
        <f t="shared" si="7"/>
        <v>0</v>
      </c>
      <c r="M35" s="828">
        <f t="shared" si="7"/>
        <v>0</v>
      </c>
      <c r="N35" s="828">
        <f t="shared" si="7"/>
        <v>0</v>
      </c>
      <c r="O35" s="828">
        <f t="shared" si="7"/>
        <v>0</v>
      </c>
      <c r="P35" s="675">
        <f t="shared" si="9"/>
        <v>0</v>
      </c>
      <c r="Q35" s="656" t="str">
        <f t="shared" si="6"/>
        <v/>
      </c>
      <c r="R35" s="630"/>
      <c r="S35" s="630"/>
      <c r="T35" s="630"/>
      <c r="U35" s="630"/>
      <c r="V35" s="630"/>
      <c r="W35" s="630"/>
      <c r="X35" s="630"/>
      <c r="Y35" s="630"/>
      <c r="Z35" s="630"/>
      <c r="AA35" s="630"/>
      <c r="AB35" s="630"/>
      <c r="AC35" s="630"/>
      <c r="AD35" s="630"/>
    </row>
    <row r="36" spans="1:30" s="1" customFormat="1" ht="17.25" customHeight="1" outlineLevel="1">
      <c r="A36" s="657" t="str">
        <f>'übrige Kosten'!A20</f>
        <v>Buchführung und Abschlusskosten / Beratungskosten</v>
      </c>
      <c r="B36" s="658" t="s">
        <v>81</v>
      </c>
      <c r="C36" s="659">
        <f>'übrige Kosten'!C20</f>
        <v>0</v>
      </c>
      <c r="D36" s="828">
        <f t="shared" si="8"/>
        <v>0</v>
      </c>
      <c r="E36" s="828">
        <f t="shared" si="7"/>
        <v>0</v>
      </c>
      <c r="F36" s="828">
        <f t="shared" si="7"/>
        <v>0</v>
      </c>
      <c r="G36" s="828">
        <f t="shared" si="7"/>
        <v>0</v>
      </c>
      <c r="H36" s="828">
        <f t="shared" si="7"/>
        <v>0</v>
      </c>
      <c r="I36" s="828">
        <f t="shared" si="7"/>
        <v>0</v>
      </c>
      <c r="J36" s="828">
        <f t="shared" si="7"/>
        <v>0</v>
      </c>
      <c r="K36" s="828">
        <f t="shared" si="7"/>
        <v>0</v>
      </c>
      <c r="L36" s="828">
        <f t="shared" si="7"/>
        <v>0</v>
      </c>
      <c r="M36" s="828">
        <f t="shared" si="7"/>
        <v>0</v>
      </c>
      <c r="N36" s="828">
        <f t="shared" si="7"/>
        <v>0</v>
      </c>
      <c r="O36" s="828">
        <f t="shared" si="7"/>
        <v>0</v>
      </c>
      <c r="P36" s="675">
        <f t="shared" si="9"/>
        <v>0</v>
      </c>
      <c r="Q36" s="656" t="str">
        <f t="shared" si="6"/>
        <v/>
      </c>
      <c r="R36" s="630"/>
      <c r="S36" s="630"/>
      <c r="T36" s="630"/>
      <c r="U36" s="630"/>
      <c r="V36" s="630"/>
      <c r="W36" s="630"/>
      <c r="X36" s="630"/>
      <c r="Y36" s="630"/>
      <c r="Z36" s="630"/>
      <c r="AA36" s="630"/>
      <c r="AB36" s="630"/>
      <c r="AC36" s="630"/>
      <c r="AD36" s="630"/>
    </row>
    <row r="37" spans="1:30" s="1" customFormat="1" ht="17.25" customHeight="1" outlineLevel="1">
      <c r="A37" s="657" t="str">
        <f>'übrige Kosten'!A21</f>
        <v>Miete / Leasing (ohne Kfz) für bewegliche Wirtschaftsgüter</v>
      </c>
      <c r="B37" s="658" t="s">
        <v>81</v>
      </c>
      <c r="C37" s="659">
        <f>'übrige Kosten'!C21</f>
        <v>0</v>
      </c>
      <c r="D37" s="828">
        <f t="shared" si="8"/>
        <v>0</v>
      </c>
      <c r="E37" s="828">
        <f t="shared" si="7"/>
        <v>0</v>
      </c>
      <c r="F37" s="828">
        <f t="shared" si="7"/>
        <v>0</v>
      </c>
      <c r="G37" s="828">
        <f t="shared" si="7"/>
        <v>0</v>
      </c>
      <c r="H37" s="828">
        <f t="shared" si="7"/>
        <v>0</v>
      </c>
      <c r="I37" s="828">
        <f t="shared" si="7"/>
        <v>0</v>
      </c>
      <c r="J37" s="828">
        <f t="shared" si="7"/>
        <v>0</v>
      </c>
      <c r="K37" s="828">
        <f t="shared" si="7"/>
        <v>0</v>
      </c>
      <c r="L37" s="828">
        <f t="shared" si="7"/>
        <v>0</v>
      </c>
      <c r="M37" s="828">
        <f t="shared" si="7"/>
        <v>0</v>
      </c>
      <c r="N37" s="828">
        <f t="shared" si="7"/>
        <v>0</v>
      </c>
      <c r="O37" s="828">
        <f t="shared" si="7"/>
        <v>0</v>
      </c>
      <c r="P37" s="675">
        <f t="shared" si="9"/>
        <v>0</v>
      </c>
      <c r="Q37" s="656" t="str">
        <f t="shared" si="6"/>
        <v/>
      </c>
      <c r="R37" s="630"/>
      <c r="S37" s="630"/>
      <c r="T37" s="630"/>
      <c r="U37" s="630"/>
      <c r="V37" s="630"/>
      <c r="W37" s="630"/>
      <c r="X37" s="630"/>
      <c r="Y37" s="630"/>
      <c r="Z37" s="630"/>
      <c r="AA37" s="630"/>
      <c r="AB37" s="630"/>
      <c r="AC37" s="630"/>
      <c r="AD37" s="630"/>
    </row>
    <row r="38" spans="1:30" s="1" customFormat="1" ht="17.25" customHeight="1" outlineLevel="1">
      <c r="A38" s="657" t="str">
        <f>'übrige Kosten'!A22</f>
        <v>Abraum - und Abfallbeseitigung</v>
      </c>
      <c r="B38" s="658" t="s">
        <v>81</v>
      </c>
      <c r="C38" s="659">
        <f>'übrige Kosten'!C22</f>
        <v>0</v>
      </c>
      <c r="D38" s="828">
        <f t="shared" si="8"/>
        <v>0</v>
      </c>
      <c r="E38" s="828">
        <f t="shared" si="7"/>
        <v>0</v>
      </c>
      <c r="F38" s="828">
        <f t="shared" si="7"/>
        <v>0</v>
      </c>
      <c r="G38" s="828">
        <f t="shared" si="7"/>
        <v>0</v>
      </c>
      <c r="H38" s="828">
        <f t="shared" si="7"/>
        <v>0</v>
      </c>
      <c r="I38" s="828">
        <f t="shared" si="7"/>
        <v>0</v>
      </c>
      <c r="J38" s="828">
        <f t="shared" si="7"/>
        <v>0</v>
      </c>
      <c r="K38" s="828">
        <f t="shared" si="7"/>
        <v>0</v>
      </c>
      <c r="L38" s="828">
        <f t="shared" si="7"/>
        <v>0</v>
      </c>
      <c r="M38" s="828">
        <f t="shared" si="7"/>
        <v>0</v>
      </c>
      <c r="N38" s="828">
        <f t="shared" si="7"/>
        <v>0</v>
      </c>
      <c r="O38" s="828">
        <f t="shared" si="7"/>
        <v>0</v>
      </c>
      <c r="P38" s="675">
        <f t="shared" si="9"/>
        <v>0</v>
      </c>
      <c r="Q38" s="656" t="str">
        <f t="shared" si="6"/>
        <v/>
      </c>
      <c r="R38" s="630"/>
      <c r="S38" s="630"/>
      <c r="T38" s="630"/>
      <c r="U38" s="630"/>
      <c r="V38" s="630"/>
      <c r="W38" s="630"/>
      <c r="X38" s="630"/>
      <c r="Y38" s="630"/>
      <c r="Z38" s="630"/>
      <c r="AA38" s="630"/>
      <c r="AB38" s="630"/>
      <c r="AC38" s="630"/>
      <c r="AD38" s="630"/>
    </row>
    <row r="39" spans="1:30" s="1" customFormat="1" ht="17.25" customHeight="1" outlineLevel="1">
      <c r="A39" s="657" t="str">
        <f>'übrige Kosten'!A23</f>
        <v>Werkzeug und Kleingeräte GWG</v>
      </c>
      <c r="B39" s="658" t="s">
        <v>81</v>
      </c>
      <c r="C39" s="659">
        <f>'übrige Kosten'!C23</f>
        <v>0</v>
      </c>
      <c r="D39" s="828">
        <f t="shared" si="8"/>
        <v>0</v>
      </c>
      <c r="E39" s="828">
        <f t="shared" si="7"/>
        <v>0</v>
      </c>
      <c r="F39" s="828">
        <f t="shared" si="7"/>
        <v>0</v>
      </c>
      <c r="G39" s="828">
        <f t="shared" si="7"/>
        <v>0</v>
      </c>
      <c r="H39" s="828">
        <f t="shared" si="7"/>
        <v>0</v>
      </c>
      <c r="I39" s="828">
        <f t="shared" si="7"/>
        <v>0</v>
      </c>
      <c r="J39" s="828">
        <f t="shared" si="7"/>
        <v>0</v>
      </c>
      <c r="K39" s="828">
        <f t="shared" si="7"/>
        <v>0</v>
      </c>
      <c r="L39" s="828">
        <f t="shared" si="7"/>
        <v>0</v>
      </c>
      <c r="M39" s="828">
        <f t="shared" si="7"/>
        <v>0</v>
      </c>
      <c r="N39" s="828">
        <f t="shared" si="7"/>
        <v>0</v>
      </c>
      <c r="O39" s="828">
        <f t="shared" si="7"/>
        <v>0</v>
      </c>
      <c r="P39" s="675">
        <f t="shared" si="9"/>
        <v>0</v>
      </c>
      <c r="Q39" s="656" t="str">
        <f t="shared" si="6"/>
        <v/>
      </c>
      <c r="R39" s="630"/>
      <c r="S39" s="630"/>
      <c r="T39" s="630"/>
      <c r="U39" s="630"/>
      <c r="V39" s="630"/>
      <c r="W39" s="630"/>
      <c r="X39" s="630"/>
      <c r="Y39" s="630"/>
      <c r="Z39" s="630"/>
      <c r="AA39" s="630"/>
      <c r="AB39" s="630"/>
      <c r="AC39" s="630"/>
      <c r="AD39" s="630"/>
    </row>
    <row r="40" spans="1:30" s="1" customFormat="1" ht="17.25" customHeight="1" outlineLevel="1">
      <c r="A40" s="657" t="str">
        <f>'übrige Kosten'!A24</f>
        <v>Betriebsbedarf</v>
      </c>
      <c r="B40" s="658" t="s">
        <v>81</v>
      </c>
      <c r="C40" s="659">
        <f>'übrige Kosten'!C24</f>
        <v>0</v>
      </c>
      <c r="D40" s="828">
        <f t="shared" si="8"/>
        <v>0</v>
      </c>
      <c r="E40" s="828">
        <f t="shared" si="7"/>
        <v>0</v>
      </c>
      <c r="F40" s="828">
        <f t="shared" si="7"/>
        <v>0</v>
      </c>
      <c r="G40" s="828">
        <f t="shared" si="7"/>
        <v>0</v>
      </c>
      <c r="H40" s="828">
        <f t="shared" si="7"/>
        <v>0</v>
      </c>
      <c r="I40" s="828">
        <f t="shared" si="7"/>
        <v>0</v>
      </c>
      <c r="J40" s="828">
        <f t="shared" si="7"/>
        <v>0</v>
      </c>
      <c r="K40" s="828">
        <f t="shared" si="7"/>
        <v>0</v>
      </c>
      <c r="L40" s="828">
        <f t="shared" si="7"/>
        <v>0</v>
      </c>
      <c r="M40" s="828">
        <f t="shared" si="7"/>
        <v>0</v>
      </c>
      <c r="N40" s="828">
        <f t="shared" si="7"/>
        <v>0</v>
      </c>
      <c r="O40" s="828">
        <f t="shared" si="7"/>
        <v>0</v>
      </c>
      <c r="P40" s="675">
        <f t="shared" si="9"/>
        <v>0</v>
      </c>
      <c r="Q40" s="656" t="str">
        <f t="shared" si="6"/>
        <v/>
      </c>
      <c r="R40" s="630"/>
      <c r="S40" s="630"/>
      <c r="T40" s="630"/>
      <c r="U40" s="630"/>
      <c r="V40" s="630"/>
      <c r="W40" s="630"/>
      <c r="X40" s="630"/>
      <c r="Y40" s="630"/>
      <c r="Z40" s="630"/>
      <c r="AA40" s="630"/>
      <c r="AB40" s="630"/>
      <c r="AC40" s="630"/>
      <c r="AD40" s="630"/>
    </row>
    <row r="41" spans="1:30" s="1" customFormat="1" ht="17.25" customHeight="1">
      <c r="A41" s="657" t="str">
        <f>'übrige Kosten'!A25</f>
        <v>langfristige Zinsen</v>
      </c>
      <c r="B41" s="658" t="s">
        <v>80</v>
      </c>
      <c r="C41" s="659">
        <f>'übrige Kosten'!C25</f>
        <v>0</v>
      </c>
      <c r="D41" s="828">
        <f>Hilfstabelle!B127+'Zins und Tilgung'!$AG20/12+'Zins und Tilgung'!$AM16/12+'Zins und Tilgung'!$AR16/12</f>
        <v>0</v>
      </c>
      <c r="E41" s="828">
        <f>Hilfstabelle!C127+'Zins und Tilgung'!$AG20/12+'Zins und Tilgung'!$AM16/12+'Zins und Tilgung'!$AR16/12</f>
        <v>0</v>
      </c>
      <c r="F41" s="828">
        <f>Hilfstabelle!D127+'Zins und Tilgung'!$AG20/12+'Zins und Tilgung'!$AM16/12+'Zins und Tilgung'!$AR16/12</f>
        <v>0</v>
      </c>
      <c r="G41" s="828">
        <f>Hilfstabelle!E127+'Zins und Tilgung'!$AG20/12+'Zins und Tilgung'!$AM16/12+'Zins und Tilgung'!$AR16/12</f>
        <v>0</v>
      </c>
      <c r="H41" s="828">
        <f>Hilfstabelle!F127+'Zins und Tilgung'!$AG20/12+'Zins und Tilgung'!$AM16/12+'Zins und Tilgung'!$AR16/12</f>
        <v>0</v>
      </c>
      <c r="I41" s="828">
        <f>Hilfstabelle!G127+'Zins und Tilgung'!$AG20/12+'Zins und Tilgung'!$AM16/12+'Zins und Tilgung'!$AR16/12</f>
        <v>0</v>
      </c>
      <c r="J41" s="828">
        <f>Hilfstabelle!H127+'Zins und Tilgung'!$AG20/12+'Zins und Tilgung'!$AM16/12+'Zins und Tilgung'!$AR16/12</f>
        <v>0</v>
      </c>
      <c r="K41" s="828">
        <f>Hilfstabelle!I127+'Zins und Tilgung'!$AG20/12+'Zins und Tilgung'!$AM16/12+'Zins und Tilgung'!$AR16/12</f>
        <v>0</v>
      </c>
      <c r="L41" s="828">
        <f>Hilfstabelle!J127+'Zins und Tilgung'!$AG20/12+'Zins und Tilgung'!$AM16/12+'Zins und Tilgung'!$AR16/12</f>
        <v>0</v>
      </c>
      <c r="M41" s="828">
        <f>Hilfstabelle!K127+'Zins und Tilgung'!$AG20/12+'Zins und Tilgung'!$AM16/12+'Zins und Tilgung'!$AR16/12</f>
        <v>0</v>
      </c>
      <c r="N41" s="828">
        <f>Hilfstabelle!L127+'Zins und Tilgung'!$AG20/12+'Zins und Tilgung'!$AM16/12+'Zins und Tilgung'!$AR16/12</f>
        <v>0</v>
      </c>
      <c r="O41" s="828">
        <f>Hilfstabelle!M127+'Zins und Tilgung'!$AG20/12+'Zins und Tilgung'!$AM16/12+'Zins und Tilgung'!$AR16/12</f>
        <v>0</v>
      </c>
      <c r="P41" s="675">
        <f t="shared" si="9"/>
        <v>0</v>
      </c>
      <c r="Q41" s="656" t="str">
        <f t="shared" si="6"/>
        <v/>
      </c>
      <c r="R41" s="630"/>
      <c r="S41" s="630"/>
      <c r="T41" s="630"/>
      <c r="U41" s="630"/>
      <c r="V41" s="630"/>
      <c r="W41" s="630"/>
      <c r="X41" s="630"/>
      <c r="Y41" s="630"/>
      <c r="Z41" s="630"/>
      <c r="AA41" s="630"/>
      <c r="AB41" s="630"/>
      <c r="AC41" s="630"/>
      <c r="AD41" s="630"/>
    </row>
    <row r="42" spans="1:30" s="1" customFormat="1" ht="17.25" customHeight="1">
      <c r="A42" s="657" t="str">
        <f>'übrige Kosten'!A26</f>
        <v>kurzfristige Zinsen, Bankgebühren</v>
      </c>
      <c r="B42" s="658" t="s">
        <v>80</v>
      </c>
      <c r="C42" s="659">
        <f>'übrige Kosten'!C26</f>
        <v>0</v>
      </c>
      <c r="D42" s="828">
        <f>$C42/12</f>
        <v>0</v>
      </c>
      <c r="E42" s="828">
        <f t="shared" si="7"/>
        <v>0</v>
      </c>
      <c r="F42" s="828">
        <f t="shared" si="7"/>
        <v>0</v>
      </c>
      <c r="G42" s="828">
        <f t="shared" si="7"/>
        <v>0</v>
      </c>
      <c r="H42" s="828">
        <f t="shared" si="7"/>
        <v>0</v>
      </c>
      <c r="I42" s="828">
        <f t="shared" si="7"/>
        <v>0</v>
      </c>
      <c r="J42" s="828">
        <f t="shared" si="7"/>
        <v>0</v>
      </c>
      <c r="K42" s="828">
        <f t="shared" si="7"/>
        <v>0</v>
      </c>
      <c r="L42" s="828">
        <f t="shared" si="7"/>
        <v>0</v>
      </c>
      <c r="M42" s="828">
        <f t="shared" si="7"/>
        <v>0</v>
      </c>
      <c r="N42" s="828">
        <f t="shared" si="7"/>
        <v>0</v>
      </c>
      <c r="O42" s="828">
        <f t="shared" si="7"/>
        <v>0</v>
      </c>
      <c r="P42" s="675">
        <f>SUM(D42:O42)</f>
        <v>0</v>
      </c>
      <c r="Q42" s="656" t="str">
        <f t="shared" si="6"/>
        <v/>
      </c>
      <c r="R42" s="630"/>
      <c r="S42" s="630"/>
      <c r="T42" s="630"/>
      <c r="U42" s="630"/>
      <c r="V42" s="630"/>
      <c r="W42" s="630"/>
      <c r="X42" s="630"/>
      <c r="Y42" s="630"/>
      <c r="Z42" s="630"/>
      <c r="AA42" s="630"/>
      <c r="AB42" s="630"/>
      <c r="AC42" s="630"/>
      <c r="AD42" s="630"/>
    </row>
    <row r="43" spans="1:30" s="1" customFormat="1" ht="17.25" customHeight="1">
      <c r="A43" s="657" t="str">
        <f>'übrige Kosten'!A27</f>
        <v>Sonstiges</v>
      </c>
      <c r="B43" s="658" t="s">
        <v>81</v>
      </c>
      <c r="C43" s="659">
        <f>'übrige Kosten'!C27+'übrige Kosten'!C28+'übrige Kosten'!C29</f>
        <v>0</v>
      </c>
      <c r="D43" s="828">
        <f>$C43/12</f>
        <v>0</v>
      </c>
      <c r="E43" s="828">
        <f t="shared" ref="E43:O43" si="10">$C43/12</f>
        <v>0</v>
      </c>
      <c r="F43" s="828">
        <f t="shared" si="10"/>
        <v>0</v>
      </c>
      <c r="G43" s="828">
        <f t="shared" si="10"/>
        <v>0</v>
      </c>
      <c r="H43" s="828">
        <f t="shared" si="10"/>
        <v>0</v>
      </c>
      <c r="I43" s="828">
        <f t="shared" si="10"/>
        <v>0</v>
      </c>
      <c r="J43" s="828">
        <f t="shared" si="10"/>
        <v>0</v>
      </c>
      <c r="K43" s="828">
        <f t="shared" si="10"/>
        <v>0</v>
      </c>
      <c r="L43" s="828">
        <f t="shared" si="10"/>
        <v>0</v>
      </c>
      <c r="M43" s="828">
        <f t="shared" si="10"/>
        <v>0</v>
      </c>
      <c r="N43" s="828">
        <f t="shared" si="10"/>
        <v>0</v>
      </c>
      <c r="O43" s="828">
        <f t="shared" si="10"/>
        <v>0</v>
      </c>
      <c r="P43" s="675">
        <f t="shared" si="9"/>
        <v>0</v>
      </c>
      <c r="Q43" s="656" t="str">
        <f t="shared" si="6"/>
        <v/>
      </c>
      <c r="R43" s="630"/>
      <c r="S43" s="630"/>
      <c r="T43" s="630"/>
      <c r="U43" s="630"/>
      <c r="V43" s="630"/>
      <c r="W43" s="630"/>
      <c r="X43" s="630"/>
      <c r="Y43" s="630"/>
      <c r="Z43" s="630"/>
      <c r="AA43" s="630"/>
      <c r="AB43" s="630"/>
      <c r="AC43" s="630"/>
      <c r="AD43" s="630"/>
    </row>
    <row r="44" spans="1:30" s="1" customFormat="1" ht="17.25" hidden="1" customHeight="1">
      <c r="A44" s="657" t="str">
        <f>'übrige Kosten'!A29</f>
        <v>Sonstiges 3:</v>
      </c>
      <c r="B44" s="658"/>
      <c r="C44" s="659"/>
      <c r="D44" s="828"/>
      <c r="E44" s="828"/>
      <c r="F44" s="828"/>
      <c r="G44" s="828"/>
      <c r="H44" s="828"/>
      <c r="I44" s="828"/>
      <c r="J44" s="828"/>
      <c r="K44" s="828"/>
      <c r="L44" s="828"/>
      <c r="M44" s="828"/>
      <c r="N44" s="828"/>
      <c r="O44" s="828"/>
      <c r="P44" s="675">
        <f t="shared" si="9"/>
        <v>0</v>
      </c>
      <c r="Q44" s="656" t="str">
        <f>IF(AND(ABS(P44-C44)&gt;10,P44&lt;&gt;0),"Überprüfe Eintragung","")</f>
        <v/>
      </c>
      <c r="R44" s="630"/>
      <c r="S44" s="630"/>
      <c r="T44" s="630"/>
      <c r="U44" s="630"/>
      <c r="V44" s="630"/>
      <c r="W44" s="630"/>
      <c r="X44" s="630"/>
      <c r="Y44" s="630"/>
      <c r="Z44" s="630"/>
      <c r="AA44" s="630"/>
      <c r="AB44" s="630"/>
      <c r="AC44" s="630"/>
      <c r="AD44" s="630"/>
    </row>
    <row r="45" spans="1:30" s="1" customFormat="1" ht="17.25" hidden="1" customHeight="1">
      <c r="A45" s="657" t="str">
        <f>'übrige Kosten'!A30</f>
        <v>übrige Kosten gesamt</v>
      </c>
      <c r="B45" s="658"/>
      <c r="C45" s="659"/>
      <c r="D45" s="828"/>
      <c r="E45" s="828"/>
      <c r="F45" s="828"/>
      <c r="G45" s="828"/>
      <c r="H45" s="828"/>
      <c r="I45" s="828"/>
      <c r="J45" s="828"/>
      <c r="K45" s="828"/>
      <c r="L45" s="828"/>
      <c r="M45" s="828"/>
      <c r="N45" s="828"/>
      <c r="O45" s="828"/>
      <c r="P45" s="675">
        <f t="shared" si="9"/>
        <v>0</v>
      </c>
      <c r="Q45" s="656" t="str">
        <f>IF(AND(ABS(P45-C45)&gt;10,P45&lt;&gt;0),"Überprüfe Eintragung","")</f>
        <v/>
      </c>
      <c r="R45" s="630"/>
      <c r="S45" s="630"/>
      <c r="T45" s="630"/>
      <c r="U45" s="630"/>
      <c r="V45" s="630"/>
      <c r="W45" s="630"/>
      <c r="X45" s="630"/>
      <c r="Y45" s="630"/>
      <c r="Z45" s="630"/>
      <c r="AA45" s="630"/>
      <c r="AB45" s="630"/>
      <c r="AC45" s="630"/>
      <c r="AD45" s="630"/>
    </row>
    <row r="46" spans="1:30" s="1" customFormat="1" ht="17.25" hidden="1" customHeight="1">
      <c r="A46" s="657">
        <f>'übrige Kosten'!A31</f>
        <v>0</v>
      </c>
      <c r="B46" s="658"/>
      <c r="C46" s="659"/>
      <c r="D46" s="828"/>
      <c r="E46" s="828"/>
      <c r="F46" s="828"/>
      <c r="G46" s="828"/>
      <c r="H46" s="828"/>
      <c r="I46" s="828"/>
      <c r="J46" s="828"/>
      <c r="K46" s="828"/>
      <c r="L46" s="828"/>
      <c r="M46" s="828"/>
      <c r="N46" s="828"/>
      <c r="O46" s="828"/>
      <c r="P46" s="675">
        <f t="shared" si="9"/>
        <v>0</v>
      </c>
      <c r="Q46" s="656" t="str">
        <f>IF(AND(ABS(P46-C46)&gt;10,P46&lt;&gt;0),"Überprüfe Eintragung","")</f>
        <v/>
      </c>
      <c r="R46" s="630"/>
      <c r="S46" s="630"/>
      <c r="T46" s="630"/>
      <c r="U46" s="630"/>
      <c r="V46" s="630"/>
      <c r="W46" s="630"/>
      <c r="X46" s="630"/>
      <c r="Y46" s="630"/>
      <c r="Z46" s="630"/>
      <c r="AA46" s="630"/>
      <c r="AB46" s="630"/>
      <c r="AC46" s="630"/>
      <c r="AD46" s="630"/>
    </row>
    <row r="47" spans="1:30" s="1" customFormat="1" ht="17.25" customHeight="1">
      <c r="A47" s="657" t="s">
        <v>368</v>
      </c>
      <c r="B47" s="658" t="s">
        <v>80</v>
      </c>
      <c r="C47" s="659">
        <f>'übrige Kosten'!C36</f>
        <v>0</v>
      </c>
      <c r="D47" s="828">
        <f>IF(OR(MONTH(D13)=2,MONTH(D13)=5,MONTH(D13)=8,MONTH(D13)=11),'übrige Kosten'!$C34/4,0)+IF(OR(MONTH(D13)=3,MONTH(D13)=6,MONTH(D13)=9,MONTH(D13)=12),'übrige Kosten'!$C35/4,0)</f>
        <v>0</v>
      </c>
      <c r="E47" s="828">
        <f>IF(OR(MONTH(E13)=2,MONTH(E13)=5,MONTH(E13)=8,MONTH(E13)=11),'übrige Kosten'!$C34/4,0)+IF(OR(MONTH(E13)=3,MONTH(E13)=6,MONTH(E13)=9,MONTH(E13)=12),'übrige Kosten'!$C35/4,0)</f>
        <v>0</v>
      </c>
      <c r="F47" s="828">
        <f>IF(OR(MONTH(F13)=2,MONTH(F13)=5,MONTH(F13)=8,MONTH(F13)=11),'übrige Kosten'!$C34/4,0)+IF(OR(MONTH(F13)=3,MONTH(F13)=6,MONTH(F13)=9,MONTH(F13)=12),'übrige Kosten'!$C35/4,0)</f>
        <v>0</v>
      </c>
      <c r="G47" s="828">
        <f>IF(OR(MONTH(G13)=2,MONTH(G13)=5,MONTH(G13)=8,MONTH(G13)=11),'übrige Kosten'!$C34/4,0)+IF(OR(MONTH(G13)=3,MONTH(G13)=6,MONTH(G13)=9,MONTH(G13)=12),'übrige Kosten'!$C35/4,0)</f>
        <v>0</v>
      </c>
      <c r="H47" s="828">
        <f>IF(OR(MONTH(H13)=2,MONTH(H13)=5,MONTH(H13)=8,MONTH(H13)=11),'übrige Kosten'!$C34/4,0)+IF(OR(MONTH(H13)=3,MONTH(H13)=6,MONTH(H13)=9,MONTH(H13)=12),'übrige Kosten'!$C35/4,0)</f>
        <v>0</v>
      </c>
      <c r="I47" s="828">
        <f>IF(OR(MONTH(I13)=2,MONTH(I13)=5,MONTH(I13)=8,MONTH(I13)=11),'übrige Kosten'!$C34/4,0)+IF(OR(MONTH(I13)=3,MONTH(I13)=6,MONTH(I13)=9,MONTH(I13)=12),'übrige Kosten'!$C35/4,0)</f>
        <v>0</v>
      </c>
      <c r="J47" s="828">
        <f>IF(OR(MONTH(J13)=2,MONTH(J13)=5,MONTH(J13)=8,MONTH(J13)=11),'übrige Kosten'!$C34/4,0)+IF(OR(MONTH(J13)=3,MONTH(J13)=6,MONTH(J13)=9,MONTH(J13)=12),'übrige Kosten'!$C35/4,0)</f>
        <v>0</v>
      </c>
      <c r="K47" s="828">
        <f>IF(OR(MONTH(K13)=2,MONTH(K13)=5,MONTH(K13)=8,MONTH(K13)=11),'übrige Kosten'!$C34/4,0)+IF(OR(MONTH(K13)=3,MONTH(K13)=6,MONTH(K13)=9,MONTH(K13)=12),'übrige Kosten'!$C35/4,0)</f>
        <v>0</v>
      </c>
      <c r="L47" s="828">
        <f>IF(OR(MONTH(L13)=2,MONTH(L13)=5,MONTH(L13)=8,MONTH(L13)=11),'übrige Kosten'!$C34/4,0)+IF(OR(MONTH(L13)=3,MONTH(L13)=6,MONTH(L13)=9,MONTH(L13)=12),'übrige Kosten'!$C35/4,0)</f>
        <v>0</v>
      </c>
      <c r="M47" s="828">
        <f>IF(OR(MONTH(M13)=2,MONTH(M13)=5,MONTH(M13)=8,MONTH(M13)=11),'übrige Kosten'!$C34/4,0)+IF(OR(MONTH(M13)=3,MONTH(M13)=6,MONTH(M13)=9,MONTH(M13)=12),'übrige Kosten'!$C35/4,0)</f>
        <v>0</v>
      </c>
      <c r="N47" s="828">
        <f>IF(OR(MONTH(N13)=2,MONTH(N13)=5,MONTH(N13)=8,MONTH(N13)=11),'übrige Kosten'!$C34/4,0)+IF(OR(MONTH(N13)=3,MONTH(N13)=6,MONTH(N13)=9,MONTH(N13)=12),'übrige Kosten'!$C35/4,0)</f>
        <v>0</v>
      </c>
      <c r="O47" s="828">
        <f>IF(OR(MONTH(O13)=2,MONTH(O13)=5,MONTH(O13)=8,MONTH(O13)=11),'übrige Kosten'!$C34/4,0)+IF(OR(MONTH(O13)=3,MONTH(O13)=6,MONTH(O13)=9,MONTH(O13)=12),'übrige Kosten'!$C35/4,0)</f>
        <v>0</v>
      </c>
      <c r="P47" s="675">
        <f t="shared" si="9"/>
        <v>0</v>
      </c>
      <c r="Q47" s="656" t="str">
        <f>IF(AND(ABS(P47-C47)&gt;50,P47&lt;&gt;0),"Überprüfe Eintragung","")</f>
        <v/>
      </c>
      <c r="R47" s="630"/>
      <c r="S47" s="630"/>
      <c r="T47" s="630"/>
      <c r="U47" s="630"/>
      <c r="V47" s="630"/>
      <c r="W47" s="630"/>
      <c r="X47" s="630"/>
      <c r="Y47" s="630"/>
      <c r="Z47" s="630"/>
      <c r="AA47" s="630"/>
      <c r="AB47" s="630"/>
      <c r="AC47" s="630"/>
      <c r="AD47" s="630"/>
    </row>
    <row r="48" spans="1:30" s="1" customFormat="1" ht="17.25" customHeight="1">
      <c r="A48" s="687" t="s">
        <v>547</v>
      </c>
      <c r="B48" s="878" t="str">
        <f>IF(OR(Startseite!A50=8,Startseite!A50=9,Startseite!A50=10),"nein",IF(Kapitalbedarf!B11&gt;90%,"nein","ja"))</f>
        <v>nein</v>
      </c>
      <c r="C48" s="778">
        <f>SUM(Kapitalbedarf!E11:E22)</f>
        <v>0</v>
      </c>
      <c r="D48" s="828">
        <f>C48</f>
        <v>0</v>
      </c>
      <c r="E48" s="828"/>
      <c r="F48" s="828"/>
      <c r="G48" s="828"/>
      <c r="H48" s="828"/>
      <c r="I48" s="828"/>
      <c r="J48" s="828"/>
      <c r="K48" s="828"/>
      <c r="L48" s="828"/>
      <c r="M48" s="828"/>
      <c r="N48" s="828"/>
      <c r="O48" s="828"/>
      <c r="P48" s="675">
        <f>SUM(D48:O48)</f>
        <v>0</v>
      </c>
      <c r="Q48" s="656" t="str">
        <f>IF(AND(ABS(P48-C48)&gt;50,P48&lt;&gt;0),"Überprüfe Eintragung","")</f>
        <v/>
      </c>
      <c r="R48" s="630"/>
      <c r="S48" s="630"/>
      <c r="T48" s="630"/>
      <c r="U48" s="630"/>
      <c r="V48" s="630"/>
      <c r="W48" s="630"/>
      <c r="X48" s="630"/>
      <c r="Y48" s="630"/>
      <c r="Z48" s="630"/>
      <c r="AA48" s="630"/>
      <c r="AB48" s="630"/>
      <c r="AC48" s="630"/>
      <c r="AD48" s="630"/>
    </row>
    <row r="49" spans="1:30" s="1" customFormat="1" ht="17.25" customHeight="1">
      <c r="A49" s="687" t="s">
        <v>273</v>
      </c>
      <c r="B49" s="878" t="s">
        <v>81</v>
      </c>
      <c r="C49" s="828">
        <f>Kapitalbedarf!D24+Kapitalbedarf!D26+Kapitalbedarf!D32-C48</f>
        <v>0</v>
      </c>
      <c r="D49" s="828">
        <f>C49*2/3</f>
        <v>0</v>
      </c>
      <c r="E49" s="828">
        <f>C49/3</f>
        <v>0</v>
      </c>
      <c r="F49" s="828"/>
      <c r="G49" s="828"/>
      <c r="H49" s="828"/>
      <c r="I49" s="828"/>
      <c r="J49" s="828"/>
      <c r="K49" s="828"/>
      <c r="L49" s="828"/>
      <c r="M49" s="828"/>
      <c r="N49" s="828"/>
      <c r="O49" s="828"/>
      <c r="P49" s="675">
        <f t="shared" si="9"/>
        <v>0</v>
      </c>
      <c r="Q49" s="656" t="str">
        <f>IF(AND(ABS(P49-C49)&gt;50,P49&lt;&gt;0),"Überprüfe Eintragung","")</f>
        <v/>
      </c>
      <c r="R49" s="630"/>
      <c r="S49" s="630"/>
      <c r="T49" s="630"/>
      <c r="U49" s="630"/>
      <c r="V49" s="630"/>
      <c r="W49" s="630"/>
      <c r="X49" s="630"/>
      <c r="Y49" s="630"/>
      <c r="Z49" s="630"/>
      <c r="AA49" s="630"/>
      <c r="AB49" s="630"/>
      <c r="AC49" s="630"/>
      <c r="AD49" s="630"/>
    </row>
    <row r="50" spans="1:30" s="1" customFormat="1" ht="17.25" customHeight="1">
      <c r="A50" s="657" t="s">
        <v>65</v>
      </c>
      <c r="B50" s="658" t="s">
        <v>80</v>
      </c>
      <c r="C50" s="828">
        <f>IF(OR(8=Startseite!$A50,9=Startseite!$A50,10=Startseite!$A50),0,Unternehmerlohn!F45+Unternehmerlohn!Q45+Unternehmerlohn!AB45)</f>
        <v>0</v>
      </c>
      <c r="D50" s="828">
        <f>IF(C50=0,0,Unternehmerlohn!$F43/12-Unternehmerlohn!$E53-IF(Unternehmerlohn!$E53=0,0,Unternehmerlohn!$E54)-Unternehmerlohn!$E63)+IF(C50=0,0,Unternehmerlohn!$Q43/12-Unternehmerlohn!$P53-IF(Unternehmerlohn!$P53=0,0,Unternehmerlohn!$P54)-Unternehmerlohn!$P63)+IF(C50=0,0,Unternehmerlohn!$AB43/12-Unternehmerlohn!$AA53-IF(Unternehmerlohn!$AA53=0,0,Unternehmerlohn!$AA54)-Unternehmerlohn!$AA63)</f>
        <v>0</v>
      </c>
      <c r="E50" s="828">
        <f>IF(D50=0,0,Unternehmerlohn!$F43/12-Unternehmerlohn!$E53-IF(Unternehmerlohn!$E53=0,0,Unternehmerlohn!$E54)-Unternehmerlohn!$E63)+IF(D50=0,0,Unternehmerlohn!$Q43/12-Unternehmerlohn!$P53-IF(Unternehmerlohn!$P53=0,0,Unternehmerlohn!$P54)-Unternehmerlohn!$P63)+IF(D50=0,0,Unternehmerlohn!$AB43/12-Unternehmerlohn!$AA53-IF(Unternehmerlohn!$AA53=0,0,Unternehmerlohn!$AA54)-Unternehmerlohn!$AA63)</f>
        <v>0</v>
      </c>
      <c r="F50" s="828">
        <f>IF(E50=0,0,Unternehmerlohn!$F43/12-Unternehmerlohn!$E53-IF(Unternehmerlohn!$E53=0,0,Unternehmerlohn!$E54)-Unternehmerlohn!$E63)+IF(E50=0,0,Unternehmerlohn!$Q43/12-Unternehmerlohn!$P53-IF(Unternehmerlohn!$P53=0,0,Unternehmerlohn!$P54)-Unternehmerlohn!$P63)+IF(E50=0,0,Unternehmerlohn!$AB43/12-Unternehmerlohn!$AA53-IF(Unternehmerlohn!$AA53=0,0,Unternehmerlohn!$AA54)-Unternehmerlohn!$AA63)</f>
        <v>0</v>
      </c>
      <c r="G50" s="828">
        <f>IF(F50=0,0,Unternehmerlohn!$F43/12-Unternehmerlohn!$E53-IF(Unternehmerlohn!$E53=0,0,Unternehmerlohn!$E54)-Unternehmerlohn!$E63)+IF(F50=0,0,Unternehmerlohn!$Q43/12-Unternehmerlohn!$P53-IF(Unternehmerlohn!$P53=0,0,Unternehmerlohn!$P54)-Unternehmerlohn!$P63)+IF(F50=0,0,Unternehmerlohn!$AB43/12-Unternehmerlohn!$AA53-IF(Unternehmerlohn!$AA53=0,0,Unternehmerlohn!$AA54)-Unternehmerlohn!$AA63)</f>
        <v>0</v>
      </c>
      <c r="H50" s="828">
        <f>IF(G50=0,0,Unternehmerlohn!$F43/12-Unternehmerlohn!$E53-IF(Unternehmerlohn!$E53=0,0,Unternehmerlohn!$E54)-Unternehmerlohn!$E63)+IF(G50=0,0,Unternehmerlohn!$Q43/12-Unternehmerlohn!$P53-IF(Unternehmerlohn!$P53=0,0,Unternehmerlohn!$P54)-Unternehmerlohn!$P63)+IF(G50=0,0,Unternehmerlohn!$AB43/12-Unternehmerlohn!$AA53-IF(Unternehmerlohn!$AA53=0,0,Unternehmerlohn!$AA54)-Unternehmerlohn!$AA63)</f>
        <v>0</v>
      </c>
      <c r="I50" s="828">
        <f>IF(H50=0,0,Unternehmerlohn!$F43/12-Unternehmerlohn!$E53-IF(Unternehmerlohn!$E53=0,0,Unternehmerlohn!$E54)-Unternehmerlohn!$E63)+IF(H50=0,0,Unternehmerlohn!$Q43/12-Unternehmerlohn!$P53-IF(Unternehmerlohn!$P53=0,0,Unternehmerlohn!$P54)-Unternehmerlohn!$P63)+IF(H50=0,0,Unternehmerlohn!$AB43/12-Unternehmerlohn!$AA53-IF(Unternehmerlohn!$AA53=0,0,Unternehmerlohn!$AA54)-Unternehmerlohn!$AA63)</f>
        <v>0</v>
      </c>
      <c r="J50" s="828">
        <f>IF(I50=0,0,Unternehmerlohn!$F43/12-IF(Unternehmerlohn!$E56=0,0,Unternehmerlohn!$E56)-IF(Unternehmerlohn!$E62=0,0,Unternehmerlohn!$E63))+IF(I50=0,0,Unternehmerlohn!$Q43/12-IF(Unternehmerlohn!$P56=0,0,Unternehmerlohn!$P56)-IF(Unternehmerlohn!$P62=0,0,Unternehmerlohn!$P63))+IF(I50=0,0,Unternehmerlohn!$AB43/12-IF(Unternehmerlohn!$AA56=0,0,Unternehmerlohn!$AA56)-IF(Unternehmerlohn!$AA62=0,0,Unternehmerlohn!$AA63))</f>
        <v>0</v>
      </c>
      <c r="K50" s="828">
        <f>IF(J50=0,0,Unternehmerlohn!$F43/12-IF(Unternehmerlohn!$E56=0,0,Unternehmerlohn!$E56)-IF(Unternehmerlohn!$E62=0,0,Unternehmerlohn!$E63))+IF(J50=0,0,Unternehmerlohn!$Q43/12-IF(Unternehmerlohn!$P56=0,0,Unternehmerlohn!$P56)-IF(Unternehmerlohn!$P62=0,0,Unternehmerlohn!$P63))+IF(J50=0,0,Unternehmerlohn!$AB43/12-IF(Unternehmerlohn!$AA56=0,0,Unternehmerlohn!$AA56)-IF(Unternehmerlohn!$AA62=0,0,Unternehmerlohn!$AA63))</f>
        <v>0</v>
      </c>
      <c r="L50" s="828">
        <f>IF(K50=0,0,Unternehmerlohn!$F43/12-IF(Unternehmerlohn!$E56=0,0,Unternehmerlohn!$E56)-IF(Unternehmerlohn!$E62=0,0,Unternehmerlohn!$E63))+IF(K50=0,0,Unternehmerlohn!$Q43/12-IF(Unternehmerlohn!$P56=0,0,Unternehmerlohn!$P56)-IF(Unternehmerlohn!$P62=0,0,Unternehmerlohn!$P63))+IF(K50=0,0,Unternehmerlohn!$AB43/12-IF(Unternehmerlohn!$AA56=0,0,Unternehmerlohn!$AA56)-IF(Unternehmerlohn!$AA62=0,0,Unternehmerlohn!$AA63))</f>
        <v>0</v>
      </c>
      <c r="M50" s="828">
        <f>IF(L50=0,0,Unternehmerlohn!$F43/12-IF(Unternehmerlohn!$E56=0,0,Unternehmerlohn!$E56)-IF(Unternehmerlohn!$E62=0,0,Unternehmerlohn!$E63))+IF(L50=0,0,Unternehmerlohn!$Q43/12-IF(Unternehmerlohn!$P56=0,0,Unternehmerlohn!$P56)-IF(Unternehmerlohn!$P62=0,0,Unternehmerlohn!$P63))+IF(L50=0,0,Unternehmerlohn!$AB43/12-IF(Unternehmerlohn!$AA56=0,0,Unternehmerlohn!$AA56)-IF(Unternehmerlohn!$AA62=0,0,Unternehmerlohn!$AA63))</f>
        <v>0</v>
      </c>
      <c r="N50" s="828">
        <f>IF(M50=0,0,Unternehmerlohn!$F43/12-IF(Unternehmerlohn!$E56=0,0,Unternehmerlohn!$E56)-IF(Unternehmerlohn!$E62=0,0,Unternehmerlohn!$E63))+IF(M50=0,0,Unternehmerlohn!$Q43/12-IF(Unternehmerlohn!$P56=0,0,Unternehmerlohn!$P56)-IF(Unternehmerlohn!$P62=0,0,Unternehmerlohn!$P63))+IF(M50=0,0,Unternehmerlohn!$AB43/12-IF(Unternehmerlohn!$AA56=0,0,Unternehmerlohn!$AA56)-IF(Unternehmerlohn!$AA62=0,0,Unternehmerlohn!$AA63))</f>
        <v>0</v>
      </c>
      <c r="O50" s="828">
        <f>IF(N50=0,0,Unternehmerlohn!$F43/12-IF(Unternehmerlohn!$E56=0,0,Unternehmerlohn!$E56)-IF(Unternehmerlohn!$E62=0,0,Unternehmerlohn!$E63))+IF(N50=0,0,Unternehmerlohn!$Q43/12-IF(Unternehmerlohn!$P56=0,0,Unternehmerlohn!$P56)-IF(Unternehmerlohn!$P62=0,0,Unternehmerlohn!$P63))+IF(N50=0,0,Unternehmerlohn!$AB43/12-IF(Unternehmerlohn!$AA56=0,0,Unternehmerlohn!$AA56)-IF(Unternehmerlohn!$AA62=0,0,Unternehmerlohn!$AA63))</f>
        <v>0</v>
      </c>
      <c r="P50" s="675">
        <f>SUM(D50:O50)</f>
        <v>0</v>
      </c>
      <c r="Q50" s="656" t="str">
        <f>IF(AND(ABS(P50-C50)&gt;50,P50&lt;&gt;0),"Überprüfe und ggf. ermittle Monatswerte für geplanten Unternehmerlohn","")</f>
        <v/>
      </c>
      <c r="R50" s="630"/>
      <c r="S50" s="630"/>
      <c r="T50" s="630"/>
      <c r="U50" s="630"/>
      <c r="V50" s="630"/>
      <c r="W50" s="630"/>
      <c r="X50" s="630"/>
      <c r="Y50" s="630"/>
      <c r="Z50" s="630"/>
      <c r="AA50" s="630"/>
      <c r="AB50" s="630"/>
      <c r="AC50" s="630"/>
      <c r="AD50" s="630"/>
    </row>
    <row r="51" spans="1:30" s="1" customFormat="1" ht="17.25" customHeight="1">
      <c r="A51" s="657" t="s">
        <v>431</v>
      </c>
      <c r="B51" s="658" t="s">
        <v>80</v>
      </c>
      <c r="C51" s="659">
        <f>Rentabilität!F44</f>
        <v>0</v>
      </c>
      <c r="D51" s="828">
        <f>Hilfstabelle!B104+'Zins und Tilgung'!$AS16/12</f>
        <v>0</v>
      </c>
      <c r="E51" s="828">
        <f>Hilfstabelle!C104+'Zins und Tilgung'!$AS16/12</f>
        <v>0</v>
      </c>
      <c r="F51" s="828">
        <f>Hilfstabelle!D104+'Zins und Tilgung'!$AS16/12</f>
        <v>0</v>
      </c>
      <c r="G51" s="828">
        <f>Hilfstabelle!E104+'Zins und Tilgung'!$AS16/12</f>
        <v>0</v>
      </c>
      <c r="H51" s="828">
        <f>Hilfstabelle!F104+'Zins und Tilgung'!$AS16/12</f>
        <v>0</v>
      </c>
      <c r="I51" s="828">
        <f>Hilfstabelle!G104+'Zins und Tilgung'!$AS16/12</f>
        <v>0</v>
      </c>
      <c r="J51" s="828">
        <f>Hilfstabelle!H104+'Zins und Tilgung'!$AS16/12</f>
        <v>0</v>
      </c>
      <c r="K51" s="828">
        <f>Hilfstabelle!I104+'Zins und Tilgung'!$AS16/12</f>
        <v>0</v>
      </c>
      <c r="L51" s="828">
        <f>Hilfstabelle!J104+'Zins und Tilgung'!$AS16/12</f>
        <v>0</v>
      </c>
      <c r="M51" s="828">
        <f>Hilfstabelle!K104+'Zins und Tilgung'!$AS16/12</f>
        <v>0</v>
      </c>
      <c r="N51" s="828">
        <f>Hilfstabelle!L104+'Zins und Tilgung'!$AS16/12</f>
        <v>0</v>
      </c>
      <c r="O51" s="828">
        <f>Hilfstabelle!M104+'Zins und Tilgung'!$AS16/12</f>
        <v>0</v>
      </c>
      <c r="P51" s="675">
        <f t="shared" si="9"/>
        <v>0</v>
      </c>
      <c r="Q51" s="656" t="str">
        <f>IF(AND(ABS(P51-C51)&gt;100,P51&lt;&gt;0),"Überprüfe Eintragung","")</f>
        <v/>
      </c>
      <c r="R51" s="630"/>
      <c r="S51" s="630"/>
      <c r="T51" s="630"/>
      <c r="U51" s="630"/>
      <c r="V51" s="630"/>
      <c r="W51" s="630"/>
      <c r="X51" s="630"/>
      <c r="Y51" s="630"/>
      <c r="Z51" s="630"/>
      <c r="AA51" s="630"/>
      <c r="AB51" s="630"/>
      <c r="AC51" s="630"/>
      <c r="AD51" s="630"/>
    </row>
    <row r="52" spans="1:30" s="1" customFormat="1" ht="17.25" customHeight="1" thickBot="1">
      <c r="A52" s="688" t="s">
        <v>79</v>
      </c>
      <c r="B52" s="689"/>
      <c r="C52" s="690">
        <f>(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C25+IF($B27="ja",C27,0)+C28+C30+C31+C32+C33+C34+C35+C36+C37+C38+C39+C40+C43+C44+C45+C46+IF($B49="ja",C49,0)+IF($B48="ja",C48,0))*0.19</f>
        <v>0</v>
      </c>
      <c r="D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D24,0))+(SUM(D25:D51)-D26-IF($B27="nein",D27,0)-D29-D41-D42-D47-IF($B49="nein",D49,0)-IF($B48="nein",D48,0)-D50-D51)*$B$11)</f>
        <v>0</v>
      </c>
      <c r="E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E24,0))+(SUM(E25:E51)-E26-IF($B27="nein",E27,0)-E29-E41-E42-E47-IF($B49="nein",E49,0)-IF($B48="nein",E48,0)-E50-E51)*$B$11)</f>
        <v>0</v>
      </c>
      <c r="F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F24,0))+(SUM(F25:F51)-F26-IF($B27="nein",F27,0)-F29-F41-F42-F47-IF($B49="nein",F49,0)-IF($B48="nein",F48,0)-F50-F51)*$B$11)</f>
        <v>0</v>
      </c>
      <c r="G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G24,0))+(SUM(G25:G51)-G26-IF($B27="nein",G27,0)-G29-G41-G42-G47-IF($B49="nein",G49,0)-IF($B48="nein",G48,0)-G50-G51)*$B$11)</f>
        <v>0</v>
      </c>
      <c r="H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H24,0))+(SUM(H25:H51)-H26-IF($B27="nein",H27,0)-H29-H41-H42-H47-IF($B49="nein",H49,0)-IF($B48="nein",H48,0)-H50-H51)*$B$11)</f>
        <v>0</v>
      </c>
      <c r="I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I24,0))+(SUM(I25:I51)-I26-IF($B27="nein",I27,0)-I29-I41-I42-I47-IF($B49="nein",I49,0)-IF($B48="nein",I48,0)-I50-I51)*$B$11)</f>
        <v>0</v>
      </c>
      <c r="J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J24,0))+(SUM(J25:J51)-J26-IF($B27="nein",J27,0)-J29-J41-J42-J47-IF($B49="nein",J49,0)-IF($B48="nein",J48,0)-J50-J51)*$B$11)</f>
        <v>0</v>
      </c>
      <c r="K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K24,0))+(SUM(K25:K51)-K26-IF($B27="nein",K27,0)-K29-K41-K42-K47-IF($B49="nein",K49,0)-IF($B48="nein",K48,0)-K50-K51)*$B$11)</f>
        <v>0</v>
      </c>
      <c r="L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L24,0))+(SUM(L25:L51)-L26-IF($B27="nein",L27,0)-L29-L41-L42-L47-IF($B49="nein",L49,0)-IF($B48="nein",L48,0)-L50-L51)*$B$11)</f>
        <v>0</v>
      </c>
      <c r="M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M24,0))+(SUM(M25:M51)-M26-IF($B27="nein",M27,0)-M29-M41-M42-M47-IF($B49="nein",M49,0)-IF($B48="nein",M48,0)-M50-M51)*$B$11)</f>
        <v>0</v>
      </c>
      <c r="N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N24,0))+(SUM(N25:N51)-N26-IF($B27="nein",N27,0)-N29-N41-N42-N47-IF($B49="nein",N49,0)-IF($B48="nein",N48,0)-N50-N51)*$B$11)</f>
        <v>0</v>
      </c>
      <c r="O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O24,0))+(SUM(O25:O51)-O26-IF($B27="nein",O27,0)-O29-O41-O42-O47-IF($B49="nein",O49,0)-IF($B48="nein",O48,0)-O50-O51)*$B$11)</f>
        <v>0</v>
      </c>
      <c r="P52" s="691">
        <f t="shared" si="9"/>
        <v>0</v>
      </c>
      <c r="Q52" s="656"/>
      <c r="R52" s="630"/>
      <c r="S52" s="630"/>
      <c r="T52" s="630"/>
      <c r="U52" s="630"/>
      <c r="V52" s="630"/>
      <c r="W52" s="630"/>
      <c r="X52" s="630"/>
      <c r="Y52" s="630"/>
      <c r="Z52" s="630"/>
      <c r="AA52" s="630"/>
      <c r="AB52" s="630"/>
      <c r="AC52" s="630"/>
      <c r="AD52" s="630"/>
    </row>
    <row r="53" spans="1:30" s="1" customFormat="1" ht="16.8" thickTop="1" thickBot="1">
      <c r="A53" s="692" t="s">
        <v>191</v>
      </c>
      <c r="B53" s="693"/>
      <c r="C53" s="694">
        <f t="shared" ref="C53:O53" si="11">SUM(C24:C52)</f>
        <v>0</v>
      </c>
      <c r="D53" s="680">
        <f t="shared" si="11"/>
        <v>0</v>
      </c>
      <c r="E53" s="680">
        <f t="shared" si="11"/>
        <v>0</v>
      </c>
      <c r="F53" s="680">
        <f t="shared" si="11"/>
        <v>0</v>
      </c>
      <c r="G53" s="680">
        <f t="shared" si="11"/>
        <v>0</v>
      </c>
      <c r="H53" s="680">
        <f t="shared" si="11"/>
        <v>0</v>
      </c>
      <c r="I53" s="680">
        <f t="shared" si="11"/>
        <v>0</v>
      </c>
      <c r="J53" s="680">
        <f t="shared" si="11"/>
        <v>0</v>
      </c>
      <c r="K53" s="680">
        <f t="shared" si="11"/>
        <v>0</v>
      </c>
      <c r="L53" s="680">
        <f t="shared" si="11"/>
        <v>0</v>
      </c>
      <c r="M53" s="680">
        <f t="shared" si="11"/>
        <v>0</v>
      </c>
      <c r="N53" s="680">
        <f t="shared" si="11"/>
        <v>0</v>
      </c>
      <c r="O53" s="680">
        <f t="shared" si="11"/>
        <v>0</v>
      </c>
      <c r="P53" s="681">
        <f t="shared" si="9"/>
        <v>0</v>
      </c>
      <c r="Q53" s="656"/>
      <c r="R53" s="630"/>
      <c r="S53" s="630"/>
      <c r="T53" s="630"/>
      <c r="U53" s="630"/>
      <c r="V53" s="630"/>
      <c r="W53" s="630"/>
      <c r="X53" s="630"/>
      <c r="Y53" s="630"/>
      <c r="Z53" s="630"/>
      <c r="AA53" s="630"/>
      <c r="AB53" s="630"/>
      <c r="AC53" s="630"/>
      <c r="AD53" s="630"/>
    </row>
    <row r="54" spans="1:30" s="1" customFormat="1" ht="20.25" customHeight="1" thickTop="1">
      <c r="A54" s="695" t="s">
        <v>66</v>
      </c>
      <c r="B54" s="696"/>
      <c r="C54" s="697"/>
      <c r="D54" s="828"/>
      <c r="E54" s="698">
        <f>IF(Hilfstabelle!$B$153="ja",-D15+D52,0)</f>
        <v>0</v>
      </c>
      <c r="F54" s="698">
        <f>IF(Hilfstabelle!$B$153="ja",-E15+E52,0)</f>
        <v>0</v>
      </c>
      <c r="G54" s="698">
        <f>IF(Hilfstabelle!$B$153="ja",-F15+F52,0)</f>
        <v>0</v>
      </c>
      <c r="H54" s="698">
        <f>IF(Hilfstabelle!$B$153="ja",-G15+G52,0)</f>
        <v>0</v>
      </c>
      <c r="I54" s="698">
        <f>IF(Hilfstabelle!$B$153="ja",-H15+H52,0)</f>
        <v>0</v>
      </c>
      <c r="J54" s="698">
        <f>IF(Hilfstabelle!$B$153="ja",-I15+I52,0)</f>
        <v>0</v>
      </c>
      <c r="K54" s="698">
        <f>IF(Hilfstabelle!$B$153="ja",-J15+J52,0)</f>
        <v>0</v>
      </c>
      <c r="L54" s="698">
        <f>IF(Hilfstabelle!$B$153="ja",-K15+K52,0)</f>
        <v>0</v>
      </c>
      <c r="M54" s="698">
        <f>IF(Hilfstabelle!$B$153="ja",-L15+L52,0)</f>
        <v>0</v>
      </c>
      <c r="N54" s="698">
        <f>IF(Hilfstabelle!$B$153="ja",-M15+M52,0)</f>
        <v>0</v>
      </c>
      <c r="O54" s="698">
        <f>IF(Hilfstabelle!$B$153="ja",-N15+N52,0)</f>
        <v>0</v>
      </c>
      <c r="P54" s="699">
        <f>SUM(D54:O54)</f>
        <v>0</v>
      </c>
      <c r="Q54" s="656"/>
      <c r="R54" s="630"/>
      <c r="S54" s="630"/>
      <c r="T54" s="630"/>
      <c r="U54" s="630"/>
      <c r="V54" s="630"/>
      <c r="W54" s="630"/>
      <c r="X54" s="630"/>
      <c r="Y54" s="630"/>
      <c r="Z54" s="630"/>
      <c r="AA54" s="630"/>
      <c r="AB54" s="630"/>
      <c r="AC54" s="630"/>
      <c r="AD54" s="630"/>
    </row>
    <row r="55" spans="1:30" s="1" customFormat="1" ht="20.25" customHeight="1">
      <c r="A55" s="700"/>
      <c r="B55" s="701"/>
      <c r="C55" s="702"/>
      <c r="D55" s="684"/>
      <c r="E55" s="684"/>
      <c r="F55" s="684"/>
      <c r="G55" s="684"/>
      <c r="H55" s="684"/>
      <c r="I55" s="684"/>
      <c r="J55" s="684"/>
      <c r="K55" s="684"/>
      <c r="L55" s="684"/>
      <c r="M55" s="684"/>
      <c r="N55" s="684"/>
      <c r="O55" s="684"/>
      <c r="P55" s="684"/>
      <c r="Q55" s="656"/>
      <c r="R55" s="630"/>
      <c r="S55" s="630"/>
      <c r="T55" s="630"/>
      <c r="U55" s="630"/>
      <c r="V55" s="630"/>
      <c r="W55" s="630"/>
      <c r="X55" s="630"/>
      <c r="Y55" s="630"/>
      <c r="Z55" s="630"/>
      <c r="AA55" s="630"/>
      <c r="AB55" s="630"/>
      <c r="AC55" s="630"/>
      <c r="AD55" s="630"/>
    </row>
    <row r="56" spans="1:30" s="1" customFormat="1" ht="15.6">
      <c r="A56" s="653" t="s">
        <v>287</v>
      </c>
      <c r="B56" s="648"/>
      <c r="C56" s="654">
        <f>-Finanzierung!C29</f>
        <v>0</v>
      </c>
      <c r="D56" s="703">
        <f t="shared" ref="D56:O56" si="12">D21-D53+D54</f>
        <v>0</v>
      </c>
      <c r="E56" s="703">
        <f t="shared" si="12"/>
        <v>0</v>
      </c>
      <c r="F56" s="703">
        <f t="shared" si="12"/>
        <v>0</v>
      </c>
      <c r="G56" s="703">
        <f t="shared" si="12"/>
        <v>0</v>
      </c>
      <c r="H56" s="703">
        <f t="shared" si="12"/>
        <v>0</v>
      </c>
      <c r="I56" s="703">
        <f t="shared" si="12"/>
        <v>0</v>
      </c>
      <c r="J56" s="703">
        <f t="shared" si="12"/>
        <v>0</v>
      </c>
      <c r="K56" s="703">
        <f t="shared" si="12"/>
        <v>0</v>
      </c>
      <c r="L56" s="703">
        <f t="shared" si="12"/>
        <v>0</v>
      </c>
      <c r="M56" s="703">
        <f t="shared" si="12"/>
        <v>0</v>
      </c>
      <c r="N56" s="703">
        <f t="shared" si="12"/>
        <v>0</v>
      </c>
      <c r="O56" s="703">
        <f t="shared" si="12"/>
        <v>0</v>
      </c>
      <c r="P56" s="704">
        <f>SUM(C56:O56)</f>
        <v>0</v>
      </c>
      <c r="Q56" s="656"/>
      <c r="R56" s="630"/>
      <c r="S56" s="630"/>
      <c r="T56" s="630"/>
      <c r="U56" s="630"/>
      <c r="V56" s="630"/>
      <c r="W56" s="630"/>
      <c r="X56" s="630"/>
      <c r="Y56" s="630"/>
      <c r="Z56" s="630"/>
      <c r="AA56" s="630"/>
      <c r="AB56" s="630"/>
      <c r="AC56" s="630"/>
      <c r="AD56" s="630"/>
    </row>
    <row r="57" spans="1:30" s="1" customFormat="1" ht="16.2" thickBot="1">
      <c r="A57" s="705" t="s">
        <v>67</v>
      </c>
      <c r="B57" s="706"/>
      <c r="C57" s="707"/>
      <c r="D57" s="708">
        <f>C56+D56</f>
        <v>0</v>
      </c>
      <c r="E57" s="708">
        <f t="shared" ref="E57:O57" si="13">D57+E56</f>
        <v>0</v>
      </c>
      <c r="F57" s="708">
        <f t="shared" si="13"/>
        <v>0</v>
      </c>
      <c r="G57" s="708">
        <f t="shared" si="13"/>
        <v>0</v>
      </c>
      <c r="H57" s="708">
        <f t="shared" si="13"/>
        <v>0</v>
      </c>
      <c r="I57" s="708">
        <f t="shared" si="13"/>
        <v>0</v>
      </c>
      <c r="J57" s="708">
        <f t="shared" si="13"/>
        <v>0</v>
      </c>
      <c r="K57" s="708">
        <f t="shared" si="13"/>
        <v>0</v>
      </c>
      <c r="L57" s="708">
        <f t="shared" si="13"/>
        <v>0</v>
      </c>
      <c r="M57" s="708">
        <f t="shared" si="13"/>
        <v>0</v>
      </c>
      <c r="N57" s="708">
        <f t="shared" si="13"/>
        <v>0</v>
      </c>
      <c r="O57" s="709">
        <f t="shared" si="13"/>
        <v>0</v>
      </c>
      <c r="P57" s="710"/>
      <c r="Q57" s="656"/>
      <c r="R57" s="630"/>
      <c r="S57" s="630"/>
      <c r="T57" s="630"/>
      <c r="U57" s="630"/>
      <c r="V57" s="630"/>
      <c r="W57" s="630"/>
      <c r="X57" s="630"/>
      <c r="Y57" s="630"/>
      <c r="Z57" s="630"/>
      <c r="AA57" s="630"/>
      <c r="AB57" s="630"/>
      <c r="AC57" s="630"/>
      <c r="AD57" s="630"/>
    </row>
    <row r="58" spans="1:30" s="1" customFormat="1" ht="15.6">
      <c r="A58" s="711"/>
      <c r="B58" s="712"/>
      <c r="C58" s="713"/>
      <c r="D58" s="714"/>
      <c r="E58" s="714"/>
      <c r="F58" s="714"/>
      <c r="G58" s="714"/>
      <c r="H58" s="714"/>
      <c r="I58" s="714"/>
      <c r="J58" s="714"/>
      <c r="K58" s="714"/>
      <c r="L58" s="714"/>
      <c r="M58" s="714"/>
      <c r="N58" s="714"/>
      <c r="O58" s="714"/>
      <c r="P58" s="715"/>
      <c r="Q58" s="686"/>
      <c r="R58" s="630"/>
      <c r="S58" s="630"/>
      <c r="T58" s="630"/>
      <c r="U58" s="630"/>
      <c r="V58" s="630"/>
      <c r="W58" s="630"/>
      <c r="X58" s="630"/>
      <c r="Y58" s="630"/>
      <c r="Z58" s="630"/>
      <c r="AA58" s="630"/>
      <c r="AB58" s="630"/>
      <c r="AC58" s="630"/>
      <c r="AD58" s="630"/>
    </row>
    <row r="59" spans="1:30" ht="15.6">
      <c r="A59" s="716" t="s">
        <v>125</v>
      </c>
      <c r="B59" s="717"/>
      <c r="C59" s="828">
        <f>Finanzierung!C30</f>
        <v>0</v>
      </c>
      <c r="D59" s="670">
        <f>$C59</f>
        <v>0</v>
      </c>
      <c r="E59" s="670">
        <f t="shared" ref="E59:O59" si="14">$C59</f>
        <v>0</v>
      </c>
      <c r="F59" s="670">
        <f t="shared" si="14"/>
        <v>0</v>
      </c>
      <c r="G59" s="670">
        <f t="shared" si="14"/>
        <v>0</v>
      </c>
      <c r="H59" s="670">
        <f t="shared" si="14"/>
        <v>0</v>
      </c>
      <c r="I59" s="670">
        <f t="shared" si="14"/>
        <v>0</v>
      </c>
      <c r="J59" s="670">
        <f t="shared" si="14"/>
        <v>0</v>
      </c>
      <c r="K59" s="670">
        <f t="shared" si="14"/>
        <v>0</v>
      </c>
      <c r="L59" s="670">
        <f t="shared" si="14"/>
        <v>0</v>
      </c>
      <c r="M59" s="670">
        <f t="shared" si="14"/>
        <v>0</v>
      </c>
      <c r="N59" s="670">
        <f t="shared" si="14"/>
        <v>0</v>
      </c>
      <c r="O59" s="670">
        <f t="shared" si="14"/>
        <v>0</v>
      </c>
      <c r="P59" s="718"/>
      <c r="Q59" s="718"/>
      <c r="R59" s="718"/>
      <c r="S59" s="718"/>
      <c r="T59" s="718"/>
      <c r="U59" s="718"/>
      <c r="V59" s="718"/>
      <c r="W59" s="718"/>
      <c r="X59" s="718"/>
      <c r="Y59" s="718"/>
      <c r="Z59" s="718"/>
      <c r="AA59" s="718"/>
      <c r="AB59" s="718"/>
      <c r="AC59" s="718"/>
      <c r="AD59" s="718"/>
    </row>
    <row r="60" spans="1:30" ht="15.6">
      <c r="A60" s="716" t="s">
        <v>600</v>
      </c>
      <c r="B60" s="717"/>
      <c r="C60" s="1040"/>
      <c r="D60" s="1041">
        <f>D59+D57</f>
        <v>0</v>
      </c>
      <c r="E60" s="1041">
        <f t="shared" ref="E60:O60" si="15">E59+E57</f>
        <v>0</v>
      </c>
      <c r="F60" s="1041">
        <f t="shared" si="15"/>
        <v>0</v>
      </c>
      <c r="G60" s="1041">
        <f t="shared" si="15"/>
        <v>0</v>
      </c>
      <c r="H60" s="1041">
        <f t="shared" si="15"/>
        <v>0</v>
      </c>
      <c r="I60" s="1041">
        <f t="shared" si="15"/>
        <v>0</v>
      </c>
      <c r="J60" s="1041">
        <f t="shared" si="15"/>
        <v>0</v>
      </c>
      <c r="K60" s="1041">
        <f t="shared" si="15"/>
        <v>0</v>
      </c>
      <c r="L60" s="1041">
        <f t="shared" si="15"/>
        <v>0</v>
      </c>
      <c r="M60" s="1041">
        <f t="shared" si="15"/>
        <v>0</v>
      </c>
      <c r="N60" s="1041">
        <f t="shared" si="15"/>
        <v>0</v>
      </c>
      <c r="O60" s="1041">
        <f t="shared" si="15"/>
        <v>0</v>
      </c>
      <c r="P60" s="718"/>
      <c r="Q60" s="718"/>
      <c r="R60" s="718"/>
      <c r="S60" s="718"/>
      <c r="T60" s="718"/>
      <c r="U60" s="718"/>
      <c r="V60" s="718"/>
      <c r="W60" s="718"/>
      <c r="X60" s="718"/>
      <c r="Y60" s="718"/>
      <c r="Z60" s="718"/>
      <c r="AA60" s="718"/>
      <c r="AB60" s="718"/>
      <c r="AC60" s="718"/>
      <c r="AD60" s="718"/>
    </row>
    <row r="61" spans="1:30" ht="22.5" customHeight="1">
      <c r="A61" s="718"/>
      <c r="B61" s="719"/>
      <c r="C61" s="718"/>
      <c r="D61" s="656" t="str">
        <f>IF(OR(-D57&gt;D59,-E57&gt;E59,-F57&gt;F59),"Kreditrahmen überzogen!","")</f>
        <v/>
      </c>
      <c r="E61" s="718"/>
      <c r="F61" s="718"/>
      <c r="G61" s="656" t="str">
        <f>IF(OR(-G57&gt;G59,-H57&gt;H59,-I57&gt;I59),"Kreditrahmen überzogen!","")</f>
        <v/>
      </c>
      <c r="H61" s="718"/>
      <c r="I61" s="718"/>
      <c r="J61" s="656" t="str">
        <f>IF(OR(-J57&gt;J59,-K57&gt;K59,-L57&gt;L59),"Kreditrahmen überzogen!","")</f>
        <v/>
      </c>
      <c r="K61" s="718"/>
      <c r="L61" s="718"/>
      <c r="M61" s="656" t="str">
        <f>IF(OR(-M57&gt;M59,-N57&gt;N59,-O57&gt;O59),"Kreditrahmen überzogen!","")</f>
        <v/>
      </c>
      <c r="N61" s="718"/>
      <c r="O61" s="718"/>
      <c r="P61" s="718"/>
      <c r="Q61" s="718"/>
      <c r="R61" s="718"/>
      <c r="S61" s="718"/>
      <c r="T61" s="718"/>
      <c r="U61" s="718"/>
      <c r="V61" s="718"/>
      <c r="W61" s="718"/>
      <c r="X61" s="718"/>
      <c r="Y61" s="718"/>
      <c r="Z61" s="718"/>
      <c r="AA61" s="718"/>
      <c r="AB61" s="718"/>
      <c r="AC61" s="718"/>
      <c r="AD61" s="718"/>
    </row>
    <row r="62" spans="1:30">
      <c r="A62" s="718"/>
      <c r="B62" s="719"/>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row>
    <row r="63" spans="1:30">
      <c r="A63" s="718"/>
      <c r="B63" s="719"/>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row>
    <row r="64" spans="1:30">
      <c r="A64" s="718"/>
      <c r="B64" s="719"/>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row>
    <row r="65" spans="1:30">
      <c r="A65" s="718"/>
      <c r="B65" s="719"/>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row>
    <row r="66" spans="1:30">
      <c r="A66" s="718"/>
      <c r="B66" s="719"/>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row>
    <row r="67" spans="1:30">
      <c r="A67" s="718"/>
      <c r="B67" s="719"/>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row>
    <row r="68" spans="1:30">
      <c r="A68" s="718"/>
      <c r="B68" s="719"/>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row>
    <row r="69" spans="1:30">
      <c r="A69" s="718"/>
      <c r="B69" s="719"/>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row>
    <row r="70" spans="1:30">
      <c r="A70" s="718"/>
      <c r="B70" s="719"/>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c r="AD70" s="718"/>
    </row>
    <row r="71" spans="1:30">
      <c r="A71" s="718"/>
      <c r="B71" s="719"/>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row>
    <row r="72" spans="1:30">
      <c r="A72" s="718"/>
      <c r="B72" s="719"/>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c r="AD72" s="718"/>
    </row>
    <row r="73" spans="1:30">
      <c r="A73" s="718"/>
      <c r="B73" s="719"/>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row>
    <row r="74" spans="1:30">
      <c r="A74" s="718"/>
      <c r="B74" s="719"/>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c r="AD74" s="718"/>
    </row>
    <row r="75" spans="1:30">
      <c r="A75" s="718"/>
      <c r="B75" s="719"/>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row>
    <row r="76" spans="1:30">
      <c r="A76" s="718"/>
      <c r="B76" s="719"/>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row>
    <row r="77" spans="1:30">
      <c r="A77" s="718"/>
      <c r="B77" s="719"/>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row>
    <row r="78" spans="1:30">
      <c r="A78" s="718"/>
      <c r="B78" s="719"/>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c r="AD78" s="718"/>
    </row>
    <row r="79" spans="1:30">
      <c r="A79" s="718"/>
      <c r="B79" s="719"/>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c r="AD79" s="718"/>
    </row>
    <row r="80" spans="1:30">
      <c r="A80" s="718"/>
      <c r="B80" s="719"/>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row>
    <row r="81" spans="1:30">
      <c r="A81" s="718"/>
      <c r="B81" s="719"/>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c r="AD81" s="718"/>
    </row>
    <row r="82" spans="1:30">
      <c r="A82" s="718"/>
      <c r="B82" s="719"/>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row>
    <row r="83" spans="1:30">
      <c r="A83" s="718"/>
      <c r="B83" s="719"/>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c r="AD83" s="718"/>
    </row>
    <row r="84" spans="1:30">
      <c r="A84" s="718"/>
      <c r="B84" s="719"/>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c r="AD84" s="718"/>
    </row>
    <row r="85" spans="1:30">
      <c r="A85" s="718"/>
      <c r="B85" s="719"/>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row>
    <row r="86" spans="1:30">
      <c r="A86" s="718"/>
      <c r="B86" s="719"/>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row>
    <row r="87" spans="1:30">
      <c r="A87" s="718"/>
      <c r="B87" s="719"/>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row>
    <row r="88" spans="1:30">
      <c r="A88" s="718"/>
      <c r="B88" s="719"/>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row>
    <row r="89" spans="1:30">
      <c r="A89" s="718"/>
      <c r="B89" s="719"/>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row>
    <row r="90" spans="1:30">
      <c r="A90" s="718"/>
      <c r="B90" s="719"/>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row>
    <row r="91" spans="1:30">
      <c r="A91" s="718"/>
      <c r="B91" s="719"/>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row>
    <row r="92" spans="1:30">
      <c r="A92" s="718"/>
      <c r="B92" s="719"/>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row>
    <row r="93" spans="1:30">
      <c r="A93" s="718"/>
      <c r="B93" s="719"/>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row>
    <row r="94" spans="1:30">
      <c r="A94" s="718"/>
      <c r="B94" s="719"/>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row>
    <row r="95" spans="1:30">
      <c r="A95" s="718"/>
      <c r="B95" s="719"/>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row>
    <row r="96" spans="1:30">
      <c r="A96" s="718"/>
      <c r="B96" s="719"/>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row>
    <row r="97" spans="1:30">
      <c r="A97" s="718"/>
      <c r="B97" s="719"/>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row>
    <row r="98" spans="1:30">
      <c r="A98" s="718"/>
      <c r="B98" s="719"/>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row>
    <row r="99" spans="1:30">
      <c r="A99" s="718"/>
      <c r="B99" s="719"/>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row>
    <row r="100" spans="1:30">
      <c r="A100" s="718"/>
      <c r="B100" s="719"/>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row>
    <row r="101" spans="1:30">
      <c r="A101" s="718"/>
      <c r="B101" s="719"/>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row>
    <row r="102" spans="1:30">
      <c r="A102" s="718"/>
      <c r="B102" s="719"/>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row>
    <row r="103" spans="1:30">
      <c r="A103" s="718"/>
      <c r="B103" s="719"/>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row>
    <row r="104" spans="1:30">
      <c r="A104" s="718"/>
      <c r="B104" s="719"/>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row>
    <row r="105" spans="1:30">
      <c r="A105" s="718"/>
      <c r="B105" s="719"/>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c r="AD105" s="718"/>
    </row>
    <row r="106" spans="1:30">
      <c r="A106" s="718"/>
      <c r="B106" s="719"/>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row>
    <row r="107" spans="1:30">
      <c r="A107" s="718"/>
      <c r="B107" s="719"/>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row>
    <row r="108" spans="1:30">
      <c r="A108" s="718"/>
      <c r="B108" s="719"/>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row>
    <row r="109" spans="1:30">
      <c r="A109" s="718"/>
      <c r="B109" s="719"/>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row>
    <row r="110" spans="1:30">
      <c r="A110" s="718"/>
      <c r="B110" s="719"/>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row>
    <row r="111" spans="1:30">
      <c r="A111" s="718"/>
      <c r="B111" s="719"/>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c r="AD111" s="718"/>
    </row>
    <row r="112" spans="1:30">
      <c r="A112" s="718"/>
      <c r="B112" s="719"/>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row>
    <row r="113" spans="1:30">
      <c r="A113" s="718"/>
      <c r="B113" s="719"/>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row>
    <row r="114" spans="1:30">
      <c r="A114" s="718"/>
      <c r="B114" s="719"/>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row>
    <row r="115" spans="1:30">
      <c r="A115" s="718"/>
      <c r="B115" s="719"/>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c r="AD115" s="718"/>
    </row>
    <row r="116" spans="1:30">
      <c r="A116" s="718"/>
      <c r="B116" s="719"/>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row>
    <row r="117" spans="1:30">
      <c r="A117" s="718"/>
      <c r="B117" s="719"/>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row>
    <row r="118" spans="1:30">
      <c r="A118" s="718"/>
      <c r="B118" s="719"/>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c r="AD118" s="718"/>
    </row>
    <row r="119" spans="1:30">
      <c r="A119" s="718"/>
      <c r="B119" s="719"/>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8"/>
    </row>
    <row r="120" spans="1:30">
      <c r="A120" s="718"/>
      <c r="B120" s="719"/>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c r="AD120" s="718"/>
    </row>
    <row r="121" spans="1:30">
      <c r="A121" s="718"/>
      <c r="B121" s="719"/>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c r="AD121" s="718"/>
    </row>
    <row r="122" spans="1:30">
      <c r="A122" s="718"/>
      <c r="B122" s="719"/>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row>
    <row r="123" spans="1:30">
      <c r="A123" s="718"/>
      <c r="B123" s="719"/>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c r="AD123" s="718"/>
    </row>
    <row r="124" spans="1:30">
      <c r="A124" s="718"/>
      <c r="B124" s="719"/>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row>
    <row r="125" spans="1:30">
      <c r="A125" s="718"/>
      <c r="B125" s="719"/>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row>
    <row r="126" spans="1:30">
      <c r="A126" s="718"/>
      <c r="B126" s="719"/>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row>
    <row r="127" spans="1:30">
      <c r="A127" s="718"/>
      <c r="B127" s="719"/>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row>
    <row r="128" spans="1:30">
      <c r="A128" s="718"/>
      <c r="B128" s="719"/>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row>
    <row r="129" spans="1:30">
      <c r="A129" s="718"/>
      <c r="B129" s="719"/>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row>
    <row r="130" spans="1:30">
      <c r="A130" s="718"/>
      <c r="B130" s="719"/>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row>
    <row r="131" spans="1:30">
      <c r="A131" s="718"/>
      <c r="B131" s="719"/>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row>
    <row r="132" spans="1:30">
      <c r="A132" s="718"/>
      <c r="B132" s="719"/>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row>
    <row r="133" spans="1:30">
      <c r="A133" s="718"/>
      <c r="B133" s="719"/>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row>
    <row r="134" spans="1:30">
      <c r="A134" s="718"/>
      <c r="B134" s="719"/>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row>
    <row r="135" spans="1:30">
      <c r="A135" s="718"/>
      <c r="B135" s="719"/>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row>
    <row r="136" spans="1:30">
      <c r="A136" s="718"/>
      <c r="B136" s="719"/>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row>
    <row r="137" spans="1:30">
      <c r="A137" s="718"/>
      <c r="B137" s="719"/>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row>
    <row r="138" spans="1:30">
      <c r="A138" s="718"/>
      <c r="B138" s="719"/>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row>
    <row r="139" spans="1:30">
      <c r="A139" s="718"/>
      <c r="B139" s="719"/>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row>
    <row r="140" spans="1:30">
      <c r="A140" s="718"/>
      <c r="B140" s="719"/>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row>
    <row r="141" spans="1:30">
      <c r="A141" s="718"/>
      <c r="B141" s="719"/>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c r="AD141" s="718"/>
    </row>
    <row r="142" spans="1:30">
      <c r="A142" s="718"/>
      <c r="B142" s="719"/>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c r="AD142" s="718"/>
    </row>
    <row r="143" spans="1:30">
      <c r="A143" s="718"/>
      <c r="B143" s="719"/>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c r="AD143" s="718"/>
    </row>
    <row r="144" spans="1:30">
      <c r="A144" s="718"/>
      <c r="B144" s="719"/>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row>
    <row r="145" spans="1:30">
      <c r="A145" s="718"/>
      <c r="B145" s="719"/>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c r="AD145" s="718"/>
    </row>
    <row r="146" spans="1:30">
      <c r="A146" s="718"/>
      <c r="B146" s="719"/>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c r="AD146" s="718"/>
    </row>
    <row r="147" spans="1:30">
      <c r="A147" s="718"/>
      <c r="B147" s="719"/>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row>
    <row r="148" spans="1:30">
      <c r="A148" s="718"/>
      <c r="B148" s="719"/>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row>
    <row r="149" spans="1:30">
      <c r="A149" s="718"/>
      <c r="B149" s="719"/>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c r="AD149" s="718"/>
    </row>
    <row r="150" spans="1:30">
      <c r="A150" s="718"/>
      <c r="B150" s="719"/>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c r="AD150" s="718"/>
    </row>
    <row r="151" spans="1:30">
      <c r="A151" s="718"/>
      <c r="B151" s="719"/>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c r="AD151" s="718"/>
    </row>
    <row r="152" spans="1:30">
      <c r="A152" s="718"/>
      <c r="B152" s="719"/>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c r="AD152" s="718"/>
    </row>
    <row r="153" spans="1:30">
      <c r="A153" s="718"/>
      <c r="B153" s="719"/>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c r="AD153" s="718"/>
    </row>
    <row r="154" spans="1:30">
      <c r="A154" s="718"/>
      <c r="B154" s="719"/>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c r="AD154" s="718"/>
    </row>
    <row r="155" spans="1:30">
      <c r="A155" s="718"/>
      <c r="B155" s="719"/>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c r="AD155" s="718"/>
    </row>
    <row r="156" spans="1:30">
      <c r="A156" s="718"/>
      <c r="B156" s="719"/>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c r="AD156" s="718"/>
    </row>
    <row r="157" spans="1:30">
      <c r="A157" s="718"/>
      <c r="B157" s="719"/>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c r="AD157" s="718"/>
    </row>
    <row r="158" spans="1:30">
      <c r="A158" s="718"/>
      <c r="B158" s="719"/>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c r="AD158" s="718"/>
    </row>
    <row r="159" spans="1:30">
      <c r="A159" s="718"/>
      <c r="B159" s="719"/>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row>
    <row r="160" spans="1:30">
      <c r="A160" s="718"/>
      <c r="B160" s="719"/>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c r="AD160" s="718"/>
    </row>
    <row r="161" spans="1:30">
      <c r="A161" s="718"/>
      <c r="B161" s="719"/>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row>
    <row r="162" spans="1:30">
      <c r="A162" s="718"/>
      <c r="B162" s="719"/>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row>
    <row r="163" spans="1:30">
      <c r="A163" s="718"/>
      <c r="B163" s="719"/>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row>
    <row r="164" spans="1:30">
      <c r="A164" s="718"/>
      <c r="B164" s="719"/>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row>
    <row r="165" spans="1:30">
      <c r="A165" s="718"/>
      <c r="B165" s="719"/>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row>
    <row r="166" spans="1:30">
      <c r="A166" s="718"/>
      <c r="B166" s="719"/>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row>
    <row r="167" spans="1:30">
      <c r="A167" s="718"/>
      <c r="B167" s="719"/>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c r="AD167" s="718"/>
    </row>
    <row r="168" spans="1:30">
      <c r="A168" s="718"/>
      <c r="B168" s="719"/>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row>
    <row r="169" spans="1:30">
      <c r="A169" s="718"/>
      <c r="B169" s="719"/>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c r="AD169" s="718"/>
    </row>
    <row r="170" spans="1:30">
      <c r="A170" s="718"/>
      <c r="B170" s="719"/>
      <c r="C170" s="718"/>
      <c r="D170" s="718"/>
      <c r="E170" s="718"/>
      <c r="F170" s="718"/>
      <c r="G170" s="718"/>
      <c r="H170" s="718"/>
      <c r="I170" s="718"/>
      <c r="J170" s="718"/>
      <c r="K170" s="718"/>
      <c r="L170" s="718"/>
      <c r="M170" s="718"/>
      <c r="N170" s="718"/>
      <c r="O170" s="718"/>
      <c r="P170" s="718"/>
      <c r="Q170" s="718"/>
      <c r="R170" s="718"/>
      <c r="S170" s="718"/>
      <c r="T170" s="718"/>
      <c r="U170" s="718"/>
      <c r="V170" s="718"/>
      <c r="W170" s="718"/>
      <c r="X170" s="718"/>
      <c r="Y170" s="718"/>
      <c r="Z170" s="718"/>
      <c r="AA170" s="718"/>
      <c r="AB170" s="718"/>
      <c r="AC170" s="718"/>
      <c r="AD170" s="718"/>
    </row>
    <row r="171" spans="1:30">
      <c r="A171" s="718"/>
      <c r="B171" s="719"/>
      <c r="C171" s="718"/>
      <c r="D171" s="718"/>
      <c r="E171" s="718"/>
      <c r="F171" s="718"/>
      <c r="G171" s="718"/>
      <c r="H171" s="718"/>
      <c r="I171" s="718"/>
      <c r="J171" s="718"/>
      <c r="K171" s="718"/>
      <c r="L171" s="718"/>
      <c r="M171" s="718"/>
      <c r="N171" s="718"/>
      <c r="O171" s="718"/>
      <c r="P171" s="718"/>
      <c r="Q171" s="718"/>
      <c r="R171" s="718"/>
      <c r="S171" s="718"/>
      <c r="T171" s="718"/>
      <c r="U171" s="718"/>
      <c r="V171" s="718"/>
      <c r="W171" s="718"/>
      <c r="X171" s="718"/>
      <c r="Y171" s="718"/>
      <c r="Z171" s="718"/>
      <c r="AA171" s="718"/>
      <c r="AB171" s="718"/>
      <c r="AC171" s="718"/>
      <c r="AD171" s="718"/>
    </row>
    <row r="172" spans="1:30">
      <c r="A172" s="718"/>
      <c r="B172" s="719"/>
      <c r="C172" s="718"/>
      <c r="D172" s="718"/>
      <c r="E172" s="718"/>
      <c r="F172" s="718"/>
      <c r="G172" s="718"/>
      <c r="H172" s="718"/>
      <c r="I172" s="718"/>
      <c r="J172" s="718"/>
      <c r="K172" s="718"/>
      <c r="L172" s="718"/>
      <c r="M172" s="718"/>
      <c r="N172" s="718"/>
      <c r="O172" s="718"/>
      <c r="P172" s="718"/>
      <c r="Q172" s="718"/>
      <c r="R172" s="718"/>
      <c r="S172" s="718"/>
      <c r="T172" s="718"/>
      <c r="U172" s="718"/>
      <c r="V172" s="718"/>
      <c r="W172" s="718"/>
      <c r="X172" s="718"/>
      <c r="Y172" s="718"/>
      <c r="Z172" s="718"/>
      <c r="AA172" s="718"/>
      <c r="AB172" s="718"/>
      <c r="AC172" s="718"/>
      <c r="AD172" s="718"/>
    </row>
    <row r="173" spans="1:30">
      <c r="A173" s="718"/>
      <c r="B173" s="719"/>
      <c r="C173" s="718"/>
      <c r="D173" s="718"/>
      <c r="E173" s="718"/>
      <c r="F173" s="718"/>
      <c r="G173" s="718"/>
      <c r="H173" s="718"/>
      <c r="I173" s="718"/>
      <c r="J173" s="718"/>
      <c r="K173" s="718"/>
      <c r="L173" s="718"/>
      <c r="M173" s="718"/>
      <c r="N173" s="718"/>
      <c r="O173" s="718"/>
      <c r="P173" s="718"/>
      <c r="Q173" s="718"/>
      <c r="R173" s="718"/>
      <c r="S173" s="718"/>
      <c r="T173" s="718"/>
      <c r="U173" s="718"/>
      <c r="V173" s="718"/>
      <c r="W173" s="718"/>
      <c r="X173" s="718"/>
      <c r="Y173" s="718"/>
      <c r="Z173" s="718"/>
      <c r="AA173" s="718"/>
      <c r="AB173" s="718"/>
      <c r="AC173" s="718"/>
      <c r="AD173" s="718"/>
    </row>
    <row r="174" spans="1:30">
      <c r="A174" s="718"/>
      <c r="B174" s="719"/>
      <c r="C174" s="718"/>
      <c r="D174" s="718"/>
      <c r="E174" s="718"/>
      <c r="F174" s="718"/>
      <c r="G174" s="718"/>
      <c r="H174" s="718"/>
      <c r="I174" s="718"/>
      <c r="J174" s="718"/>
      <c r="K174" s="718"/>
      <c r="L174" s="718"/>
      <c r="M174" s="718"/>
      <c r="N174" s="718"/>
      <c r="O174" s="718"/>
      <c r="P174" s="718"/>
      <c r="Q174" s="718"/>
      <c r="R174" s="718"/>
      <c r="S174" s="718"/>
      <c r="T174" s="718"/>
      <c r="U174" s="718"/>
      <c r="V174" s="718"/>
      <c r="W174" s="718"/>
      <c r="X174" s="718"/>
      <c r="Y174" s="718"/>
      <c r="Z174" s="718"/>
      <c r="AA174" s="718"/>
      <c r="AB174" s="718"/>
      <c r="AC174" s="718"/>
      <c r="AD174" s="718"/>
    </row>
    <row r="175" spans="1:30">
      <c r="A175" s="718"/>
      <c r="B175" s="719"/>
      <c r="C175" s="718"/>
      <c r="D175" s="718"/>
      <c r="E175" s="718"/>
      <c r="F175" s="718"/>
      <c r="G175" s="718"/>
      <c r="H175" s="718"/>
      <c r="I175" s="718"/>
      <c r="J175" s="718"/>
      <c r="K175" s="718"/>
      <c r="L175" s="718"/>
      <c r="M175" s="718"/>
      <c r="N175" s="718"/>
      <c r="O175" s="718"/>
      <c r="P175" s="718"/>
      <c r="Q175" s="718"/>
      <c r="R175" s="718"/>
      <c r="S175" s="718"/>
      <c r="T175" s="718"/>
      <c r="U175" s="718"/>
      <c r="V175" s="718"/>
      <c r="W175" s="718"/>
      <c r="X175" s="718"/>
      <c r="Y175" s="718"/>
      <c r="Z175" s="718"/>
      <c r="AA175" s="718"/>
      <c r="AB175" s="718"/>
      <c r="AC175" s="718"/>
      <c r="AD175" s="718"/>
    </row>
    <row r="176" spans="1:30">
      <c r="A176" s="718"/>
      <c r="B176" s="719"/>
      <c r="C176" s="718"/>
      <c r="D176" s="718"/>
      <c r="E176" s="718"/>
      <c r="F176" s="718"/>
      <c r="G176" s="718"/>
      <c r="H176" s="718"/>
      <c r="I176" s="718"/>
      <c r="J176" s="718"/>
      <c r="K176" s="718"/>
      <c r="L176" s="718"/>
      <c r="M176" s="718"/>
      <c r="N176" s="718"/>
      <c r="O176" s="718"/>
      <c r="P176" s="718"/>
      <c r="Q176" s="718"/>
      <c r="R176" s="718"/>
      <c r="S176" s="718"/>
      <c r="T176" s="718"/>
      <c r="U176" s="718"/>
      <c r="V176" s="718"/>
      <c r="W176" s="718"/>
      <c r="X176" s="718"/>
      <c r="Y176" s="718"/>
      <c r="Z176" s="718"/>
      <c r="AA176" s="718"/>
      <c r="AB176" s="718"/>
      <c r="AC176" s="718"/>
      <c r="AD176" s="718"/>
    </row>
    <row r="177" spans="1:30">
      <c r="A177" s="718"/>
      <c r="B177" s="719"/>
      <c r="C177" s="718"/>
      <c r="D177" s="718"/>
      <c r="E177" s="718"/>
      <c r="F177" s="718"/>
      <c r="G177" s="718"/>
      <c r="H177" s="718"/>
      <c r="I177" s="718"/>
      <c r="J177" s="718"/>
      <c r="K177" s="718"/>
      <c r="L177" s="718"/>
      <c r="M177" s="718"/>
      <c r="N177" s="718"/>
      <c r="O177" s="718"/>
      <c r="P177" s="718"/>
      <c r="Q177" s="718"/>
      <c r="R177" s="718"/>
      <c r="S177" s="718"/>
      <c r="T177" s="718"/>
      <c r="U177" s="718"/>
      <c r="V177" s="718"/>
      <c r="W177" s="718"/>
      <c r="X177" s="718"/>
      <c r="Y177" s="718"/>
      <c r="Z177" s="718"/>
      <c r="AA177" s="718"/>
      <c r="AB177" s="718"/>
      <c r="AC177" s="718"/>
      <c r="AD177" s="718"/>
    </row>
    <row r="178" spans="1:30">
      <c r="A178" s="718"/>
      <c r="B178" s="719"/>
      <c r="C178" s="718"/>
      <c r="D178" s="718"/>
      <c r="E178" s="718"/>
      <c r="F178" s="718"/>
      <c r="G178" s="718"/>
      <c r="H178" s="718"/>
      <c r="I178" s="718"/>
      <c r="J178" s="718"/>
      <c r="K178" s="718"/>
      <c r="L178" s="718"/>
      <c r="M178" s="718"/>
      <c r="N178" s="718"/>
      <c r="O178" s="718"/>
      <c r="P178" s="718"/>
      <c r="Q178" s="718"/>
      <c r="R178" s="718"/>
      <c r="S178" s="718"/>
      <c r="T178" s="718"/>
      <c r="U178" s="718"/>
      <c r="V178" s="718"/>
      <c r="W178" s="718"/>
      <c r="X178" s="718"/>
      <c r="Y178" s="718"/>
      <c r="Z178" s="718"/>
      <c r="AA178" s="718"/>
      <c r="AB178" s="718"/>
      <c r="AC178" s="718"/>
      <c r="AD178" s="718"/>
    </row>
    <row r="179" spans="1:30">
      <c r="A179" s="718"/>
      <c r="B179" s="719"/>
      <c r="C179" s="718"/>
      <c r="D179" s="718"/>
      <c r="E179" s="718"/>
      <c r="F179" s="718"/>
      <c r="G179" s="718"/>
      <c r="H179" s="718"/>
      <c r="I179" s="718"/>
      <c r="J179" s="718"/>
      <c r="K179" s="718"/>
      <c r="L179" s="718"/>
      <c r="M179" s="718"/>
      <c r="N179" s="718"/>
      <c r="O179" s="718"/>
      <c r="P179" s="718"/>
      <c r="Q179" s="718"/>
      <c r="R179" s="718"/>
      <c r="S179" s="718"/>
      <c r="T179" s="718"/>
      <c r="U179" s="718"/>
      <c r="V179" s="718"/>
      <c r="W179" s="718"/>
      <c r="X179" s="718"/>
      <c r="Y179" s="718"/>
      <c r="Z179" s="718"/>
      <c r="AA179" s="718"/>
      <c r="AB179" s="718"/>
      <c r="AC179" s="718"/>
      <c r="AD179" s="718"/>
    </row>
    <row r="180" spans="1:30">
      <c r="A180" s="718"/>
      <c r="B180" s="719"/>
      <c r="C180" s="718"/>
      <c r="D180" s="718"/>
      <c r="E180" s="718"/>
      <c r="F180" s="718"/>
      <c r="G180" s="718"/>
      <c r="H180" s="718"/>
      <c r="I180" s="718"/>
      <c r="J180" s="718"/>
      <c r="K180" s="718"/>
      <c r="L180" s="718"/>
      <c r="M180" s="718"/>
      <c r="N180" s="718"/>
      <c r="O180" s="718"/>
      <c r="P180" s="718"/>
      <c r="Q180" s="718"/>
      <c r="R180" s="718"/>
      <c r="S180" s="718"/>
      <c r="T180" s="718"/>
      <c r="U180" s="718"/>
      <c r="V180" s="718"/>
      <c r="W180" s="718"/>
      <c r="X180" s="718"/>
      <c r="Y180" s="718"/>
      <c r="Z180" s="718"/>
      <c r="AA180" s="718"/>
      <c r="AB180" s="718"/>
      <c r="AC180" s="718"/>
      <c r="AD180" s="718"/>
    </row>
    <row r="181" spans="1:30">
      <c r="A181" s="718"/>
      <c r="B181" s="719"/>
      <c r="C181" s="718"/>
      <c r="D181" s="718"/>
      <c r="E181" s="718"/>
      <c r="F181" s="718"/>
      <c r="G181" s="718"/>
      <c r="H181" s="718"/>
      <c r="I181" s="718"/>
      <c r="J181" s="718"/>
      <c r="K181" s="718"/>
      <c r="L181" s="718"/>
      <c r="M181" s="718"/>
      <c r="N181" s="718"/>
      <c r="O181" s="718"/>
      <c r="P181" s="718"/>
      <c r="Q181" s="718"/>
      <c r="R181" s="718"/>
      <c r="S181" s="718"/>
      <c r="T181" s="718"/>
      <c r="U181" s="718"/>
      <c r="V181" s="718"/>
      <c r="W181" s="718"/>
      <c r="X181" s="718"/>
      <c r="Y181" s="718"/>
      <c r="Z181" s="718"/>
      <c r="AA181" s="718"/>
      <c r="AB181" s="718"/>
      <c r="AC181" s="718"/>
      <c r="AD181" s="718"/>
    </row>
    <row r="182" spans="1:30">
      <c r="A182" s="718"/>
      <c r="B182" s="719"/>
      <c r="C182" s="718"/>
      <c r="D182" s="718"/>
      <c r="E182" s="718"/>
      <c r="F182" s="718"/>
      <c r="G182" s="718"/>
      <c r="H182" s="718"/>
      <c r="I182" s="718"/>
      <c r="J182" s="718"/>
      <c r="K182" s="718"/>
      <c r="L182" s="718"/>
      <c r="M182" s="718"/>
      <c r="N182" s="718"/>
      <c r="O182" s="718"/>
      <c r="P182" s="718"/>
      <c r="Q182" s="718"/>
      <c r="R182" s="718"/>
      <c r="S182" s="718"/>
      <c r="T182" s="718"/>
      <c r="U182" s="718"/>
      <c r="V182" s="718"/>
      <c r="W182" s="718"/>
      <c r="X182" s="718"/>
      <c r="Y182" s="718"/>
      <c r="Z182" s="718"/>
      <c r="AA182" s="718"/>
      <c r="AB182" s="718"/>
      <c r="AC182" s="718"/>
      <c r="AD182" s="718"/>
    </row>
    <row r="183" spans="1:30">
      <c r="A183" s="718"/>
      <c r="B183" s="719"/>
      <c r="C183" s="718"/>
      <c r="D183" s="718"/>
      <c r="E183" s="718"/>
      <c r="F183" s="718"/>
      <c r="G183" s="718"/>
      <c r="H183" s="718"/>
      <c r="I183" s="718"/>
      <c r="J183" s="718"/>
      <c r="K183" s="718"/>
      <c r="L183" s="718"/>
      <c r="M183" s="718"/>
      <c r="N183" s="718"/>
      <c r="O183" s="718"/>
      <c r="P183" s="718"/>
      <c r="Q183" s="718"/>
      <c r="R183" s="718"/>
      <c r="S183" s="718"/>
      <c r="T183" s="718"/>
      <c r="U183" s="718"/>
      <c r="V183" s="718"/>
      <c r="W183" s="718"/>
      <c r="X183" s="718"/>
      <c r="Y183" s="718"/>
      <c r="Z183" s="718"/>
      <c r="AA183" s="718"/>
      <c r="AB183" s="718"/>
      <c r="AC183" s="718"/>
      <c r="AD183" s="718"/>
    </row>
    <row r="184" spans="1:30">
      <c r="A184" s="718"/>
      <c r="B184" s="719"/>
      <c r="C184" s="718"/>
      <c r="D184" s="718"/>
      <c r="E184" s="718"/>
      <c r="F184" s="718"/>
      <c r="G184" s="718"/>
      <c r="H184" s="718"/>
      <c r="I184" s="718"/>
      <c r="J184" s="718"/>
      <c r="K184" s="718"/>
      <c r="L184" s="718"/>
      <c r="M184" s="718"/>
      <c r="N184" s="718"/>
      <c r="O184" s="718"/>
      <c r="P184" s="718"/>
      <c r="Q184" s="718"/>
      <c r="R184" s="718"/>
      <c r="S184" s="718"/>
      <c r="T184" s="718"/>
      <c r="U184" s="718"/>
      <c r="V184" s="718"/>
      <c r="W184" s="718"/>
      <c r="X184" s="718"/>
      <c r="Y184" s="718"/>
      <c r="Z184" s="718"/>
      <c r="AA184" s="718"/>
      <c r="AB184" s="718"/>
      <c r="AC184" s="718"/>
      <c r="AD184" s="718"/>
    </row>
    <row r="185" spans="1:30">
      <c r="A185" s="718"/>
      <c r="B185" s="719"/>
      <c r="C185" s="718"/>
      <c r="D185" s="718"/>
      <c r="E185" s="718"/>
      <c r="F185" s="718"/>
      <c r="G185" s="718"/>
      <c r="H185" s="718"/>
      <c r="I185" s="718"/>
      <c r="J185" s="718"/>
      <c r="K185" s="718"/>
      <c r="L185" s="718"/>
      <c r="M185" s="718"/>
      <c r="N185" s="718"/>
      <c r="O185" s="718"/>
      <c r="P185" s="718"/>
      <c r="Q185" s="718"/>
      <c r="R185" s="718"/>
      <c r="S185" s="718"/>
      <c r="T185" s="718"/>
      <c r="U185" s="718"/>
      <c r="V185" s="718"/>
      <c r="W185" s="718"/>
      <c r="X185" s="718"/>
      <c r="Y185" s="718"/>
      <c r="Z185" s="718"/>
      <c r="AA185" s="718"/>
      <c r="AB185" s="718"/>
      <c r="AC185" s="718"/>
      <c r="AD185" s="718"/>
    </row>
    <row r="186" spans="1:30">
      <c r="A186" s="718"/>
      <c r="B186" s="719"/>
      <c r="C186" s="718"/>
      <c r="D186" s="718"/>
      <c r="E186" s="718"/>
      <c r="F186" s="718"/>
      <c r="G186" s="718"/>
      <c r="H186" s="718"/>
      <c r="I186" s="718"/>
      <c r="J186" s="718"/>
      <c r="K186" s="718"/>
      <c r="L186" s="718"/>
      <c r="M186" s="718"/>
      <c r="N186" s="718"/>
      <c r="O186" s="718"/>
      <c r="P186" s="718"/>
      <c r="Q186" s="718"/>
      <c r="R186" s="718"/>
      <c r="S186" s="718"/>
      <c r="T186" s="718"/>
      <c r="U186" s="718"/>
      <c r="V186" s="718"/>
      <c r="W186" s="718"/>
      <c r="X186" s="718"/>
      <c r="Y186" s="718"/>
      <c r="Z186" s="718"/>
      <c r="AA186" s="718"/>
      <c r="AB186" s="718"/>
      <c r="AC186" s="718"/>
      <c r="AD186" s="718"/>
    </row>
  </sheetData>
  <sheetProtection password="EAD7" sheet="1" objects="1" scenarios="1"/>
  <mergeCells count="3">
    <mergeCell ref="O5:P5"/>
    <mergeCell ref="D2:E2"/>
    <mergeCell ref="I16:J16"/>
  </mergeCells>
  <dataValidations count="3">
    <dataValidation allowBlank="1" showInputMessage="1" showErrorMessage="1" promptTitle="Vorsicht!" prompt="Wenn Sie die manuelle Bearbeitung zulassen, überschreiben Sie die monatliche Gleichverteilung der ermittelten Jahreswerte!" sqref="P7 C2" xr:uid="{00000000-0002-0000-1000-000000000000}"/>
    <dataValidation type="custom" showInputMessage="1" showErrorMessage="1" errorTitle="Manuelle Bearbeitung deaktiviert" error="Wenn Sie die vorgeschlagenen Werte überschreiben wollen, aktivieren Sie oben die manuelle Bearbeitung, indem Sie &quot;ja&quot; eingeben!" sqref="C19:O19 D14:O14 C49:C50 D24:O51" xr:uid="{00000000-0002-0000-1000-000001000000}">
      <formula1>$B$2="ja"</formula1>
    </dataValidation>
    <dataValidation allowBlank="1" showInputMessage="1" showErrorMessage="1" promptTitle="Vorsicht!" prompt="Wenn Sie die manuelle Bearbeitung zulassen, können Sie  die -  in der Regel -  monatliche Gleichverteilung der aus dem  Blatt Rentabilität übernommenen Jahreswerte überschreiben!" sqref="B2" xr:uid="{00000000-0002-0000-1000-000002000000}"/>
  </dataValidations>
  <hyperlinks>
    <hyperlink ref="D2:E2" location="Startseite!C7" display="zurück zur Startseite" xr:uid="{00000000-0004-0000-1000-000000000000}"/>
  </hyperlinks>
  <pageMargins left="0.86614173228346458" right="0" top="1.2598425196850394" bottom="0.23622047244094491" header="0.19685039370078741" footer="0.23622047244094491"/>
  <pageSetup paperSize="9" scale="43" orientation="landscape" blackAndWhite="1" r:id="rId1"/>
  <headerFooter alignWithMargins="0">
    <oddFooter>&amp;L&amp;D&amp;RCopyright: Handwerkskammer Düsseldorf</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pageSetUpPr fitToPage="1"/>
  </sheetPr>
  <dimension ref="A2:AD165"/>
  <sheetViews>
    <sheetView showGridLines="0" topLeftCell="A5" zoomScale="70" zoomScaleNormal="70" zoomScaleSheetLayoutView="40" workbookViewId="0">
      <selection activeCell="B37" sqref="B37"/>
    </sheetView>
  </sheetViews>
  <sheetFormatPr baseColWidth="10" defaultColWidth="11.44140625" defaultRowHeight="13.2" outlineLevelRow="1"/>
  <cols>
    <col min="1" max="1" width="66.5546875" style="17" customWidth="1"/>
    <col min="2" max="2" width="12.44140625" style="52" customWidth="1"/>
    <col min="3" max="3" width="13" style="17" customWidth="1"/>
    <col min="4" max="4" width="14.5546875" style="17" customWidth="1"/>
    <col min="5" max="16" width="14.44140625" style="17" customWidth="1"/>
    <col min="17" max="17" width="24.33203125" style="17" customWidth="1"/>
    <col min="18" max="16384" width="11.44140625" style="17"/>
  </cols>
  <sheetData>
    <row r="2" spans="1:30" ht="17.399999999999999">
      <c r="A2" s="968" t="s">
        <v>508</v>
      </c>
      <c r="B2" s="943" t="s">
        <v>80</v>
      </c>
      <c r="C2" s="934"/>
      <c r="D2" s="1144" t="s">
        <v>502</v>
      </c>
      <c r="E2" s="1145"/>
    </row>
    <row r="4" spans="1:30" s="1" customFormat="1" ht="28.2">
      <c r="A4" s="627" t="str">
        <f xml:space="preserve"> CONCATENATE( "Ertragsprognose für das 1. Geschäftsjahres des Unternehmens :  ", Startseite!C14)</f>
        <v xml:space="preserve">Ertragsprognose für das 1. Geschäftsjahres des Unternehmens :  </v>
      </c>
      <c r="B4" s="628"/>
      <c r="C4" s="629"/>
      <c r="D4" s="630"/>
      <c r="E4" s="630"/>
      <c r="F4" s="630"/>
      <c r="G4" s="630"/>
      <c r="H4" s="630"/>
      <c r="I4" s="631">
        <f>'Personalkosten 1. Jahr'!M4</f>
        <v>45597</v>
      </c>
      <c r="J4" s="632" t="s">
        <v>248</v>
      </c>
      <c r="K4" s="631">
        <f>'Personalkosten 1. Jahr'!O4</f>
        <v>45947</v>
      </c>
      <c r="L4" s="630"/>
      <c r="M4" s="630"/>
      <c r="N4" s="936"/>
      <c r="O4" s="936"/>
      <c r="P4" s="936"/>
      <c r="Q4" s="630"/>
      <c r="R4" s="630"/>
      <c r="S4" s="630"/>
      <c r="T4" s="630"/>
      <c r="U4" s="630"/>
      <c r="V4" s="630"/>
      <c r="W4" s="630"/>
      <c r="X4" s="630"/>
      <c r="Y4" s="630"/>
      <c r="Z4" s="630"/>
      <c r="AA4" s="630"/>
      <c r="AB4" s="630"/>
      <c r="AC4" s="630"/>
      <c r="AD4" s="630"/>
    </row>
    <row r="5" spans="1:30" s="1" customFormat="1" ht="16.5" customHeight="1">
      <c r="A5" s="633"/>
      <c r="B5" s="634"/>
      <c r="C5" s="633"/>
      <c r="D5" s="630"/>
      <c r="E5" s="630"/>
      <c r="F5" s="630"/>
      <c r="G5" s="630"/>
      <c r="H5" s="630"/>
      <c r="I5" s="630"/>
      <c r="J5" s="630"/>
      <c r="K5" s="630"/>
      <c r="L5" s="630"/>
      <c r="M5" s="630"/>
      <c r="N5" s="937"/>
      <c r="O5" s="1349"/>
      <c r="P5" s="1349"/>
      <c r="Q5" s="630"/>
      <c r="R5" s="630"/>
      <c r="S5" s="630"/>
      <c r="T5" s="630"/>
      <c r="U5" s="630"/>
      <c r="V5" s="630"/>
      <c r="W5" s="630"/>
      <c r="X5" s="630"/>
      <c r="Y5" s="630"/>
      <c r="Z5" s="630"/>
      <c r="AA5" s="630"/>
      <c r="AB5" s="630"/>
      <c r="AC5" s="630"/>
      <c r="AD5" s="630"/>
    </row>
    <row r="6" spans="1:30" s="1" customFormat="1" ht="15.75" hidden="1" customHeight="1">
      <c r="A6" s="630"/>
      <c r="B6" s="876">
        <v>0.19</v>
      </c>
      <c r="C6" s="636" t="s">
        <v>57</v>
      </c>
      <c r="D6" s="641"/>
      <c r="E6" s="636"/>
      <c r="F6" s="636"/>
      <c r="G6" s="638"/>
      <c r="H6" s="630"/>
      <c r="I6" s="932"/>
      <c r="J6" s="630"/>
      <c r="K6" s="630"/>
      <c r="L6" s="630"/>
      <c r="M6" s="630"/>
      <c r="N6" s="630"/>
      <c r="O6" s="630"/>
      <c r="P6" s="630"/>
      <c r="Q6" s="630"/>
      <c r="R6" s="630"/>
      <c r="S6" s="630"/>
      <c r="T6" s="630"/>
      <c r="U6" s="630"/>
      <c r="V6" s="630"/>
      <c r="W6" s="630"/>
      <c r="X6" s="630"/>
      <c r="Y6" s="630"/>
      <c r="Z6" s="630"/>
      <c r="AA6" s="630"/>
      <c r="AB6" s="630"/>
      <c r="AC6" s="630"/>
      <c r="AD6" s="630"/>
    </row>
    <row r="7" spans="1:30" s="1" customFormat="1" ht="18" hidden="1" customHeight="1">
      <c r="A7" s="630"/>
      <c r="B7" s="877">
        <v>0.19</v>
      </c>
      <c r="C7" s="642" t="s">
        <v>58</v>
      </c>
      <c r="D7" s="643"/>
      <c r="E7" s="642"/>
      <c r="F7" s="642"/>
      <c r="G7" s="644"/>
      <c r="H7" s="630"/>
      <c r="I7" s="630"/>
      <c r="J7" s="630"/>
      <c r="K7" s="630"/>
      <c r="L7" s="630"/>
      <c r="M7" s="630"/>
      <c r="N7" s="630"/>
      <c r="O7" s="630"/>
      <c r="P7" s="630"/>
      <c r="Q7" s="630"/>
      <c r="R7" s="630"/>
      <c r="S7" s="630"/>
      <c r="T7" s="630"/>
      <c r="U7" s="630"/>
      <c r="V7" s="630"/>
      <c r="W7" s="630"/>
      <c r="X7" s="630"/>
      <c r="Y7" s="630"/>
      <c r="Z7" s="630"/>
      <c r="AA7" s="630"/>
      <c r="AB7" s="630"/>
      <c r="AC7" s="630"/>
      <c r="AD7" s="630"/>
    </row>
    <row r="8" spans="1:30" s="1" customFormat="1" ht="16.2" thickBot="1">
      <c r="A8" s="645"/>
      <c r="B8" s="646"/>
      <c r="C8" s="645"/>
      <c r="D8" s="647"/>
      <c r="E8" s="645"/>
      <c r="F8" s="630"/>
      <c r="G8" s="630"/>
      <c r="H8" s="630"/>
      <c r="I8" s="630"/>
      <c r="J8" s="630"/>
      <c r="K8" s="630"/>
      <c r="L8" s="630"/>
      <c r="M8" s="630"/>
      <c r="N8" s="119"/>
      <c r="O8" s="119"/>
      <c r="P8" s="630"/>
      <c r="Q8" s="630"/>
      <c r="R8" s="630"/>
      <c r="S8" s="630"/>
      <c r="T8" s="630"/>
      <c r="U8" s="630"/>
      <c r="V8" s="630"/>
      <c r="W8" s="630"/>
      <c r="X8" s="630"/>
      <c r="Y8" s="630"/>
      <c r="Z8" s="630"/>
      <c r="AA8" s="630"/>
      <c r="AB8" s="630"/>
      <c r="AC8" s="630"/>
      <c r="AD8" s="630"/>
    </row>
    <row r="9" spans="1:30" s="1" customFormat="1" ht="15.6">
      <c r="A9" s="630"/>
      <c r="B9" s="649" t="s">
        <v>59</v>
      </c>
      <c r="C9" s="650">
        <f>Startseite!D16</f>
        <v>45597</v>
      </c>
      <c r="D9" s="651">
        <f>C9+32</f>
        <v>45629</v>
      </c>
      <c r="E9" s="651">
        <f t="shared" ref="E9:N9" si="0">D9+31</f>
        <v>45660</v>
      </c>
      <c r="F9" s="651">
        <f t="shared" si="0"/>
        <v>45691</v>
      </c>
      <c r="G9" s="651">
        <f t="shared" si="0"/>
        <v>45722</v>
      </c>
      <c r="H9" s="651">
        <f t="shared" si="0"/>
        <v>45753</v>
      </c>
      <c r="I9" s="651">
        <f t="shared" si="0"/>
        <v>45784</v>
      </c>
      <c r="J9" s="651">
        <f t="shared" si="0"/>
        <v>45815</v>
      </c>
      <c r="K9" s="651">
        <f t="shared" si="0"/>
        <v>45846</v>
      </c>
      <c r="L9" s="651">
        <f t="shared" si="0"/>
        <v>45877</v>
      </c>
      <c r="M9" s="651">
        <f t="shared" si="0"/>
        <v>45908</v>
      </c>
      <c r="N9" s="651">
        <f t="shared" si="0"/>
        <v>45939</v>
      </c>
      <c r="O9" s="652" t="s">
        <v>60</v>
      </c>
      <c r="P9" s="630"/>
      <c r="Q9" s="630"/>
      <c r="R9" s="630"/>
      <c r="S9" s="630"/>
      <c r="T9" s="630"/>
      <c r="U9" s="630"/>
      <c r="V9" s="630"/>
      <c r="W9" s="630"/>
      <c r="X9" s="630"/>
      <c r="Y9" s="630"/>
      <c r="Z9" s="630"/>
      <c r="AA9" s="630"/>
      <c r="AB9" s="630"/>
      <c r="AC9" s="630"/>
    </row>
    <row r="10" spans="1:30" s="1" customFormat="1" ht="15.6">
      <c r="A10" s="653" t="s">
        <v>61</v>
      </c>
      <c r="B10" s="654">
        <f>Rentabilität!F22</f>
        <v>0</v>
      </c>
      <c r="C10" s="828">
        <f>'Liquiditätsplan-1.Jahr'!D14</f>
        <v>0</v>
      </c>
      <c r="D10" s="828">
        <f>'Liquiditätsplan-1.Jahr'!E14</f>
        <v>0</v>
      </c>
      <c r="E10" s="828">
        <f>'Liquiditätsplan-1.Jahr'!F14</f>
        <v>0</v>
      </c>
      <c r="F10" s="828">
        <f>'Liquiditätsplan-1.Jahr'!G14</f>
        <v>0</v>
      </c>
      <c r="G10" s="828">
        <f>'Liquiditätsplan-1.Jahr'!H14</f>
        <v>0</v>
      </c>
      <c r="H10" s="828">
        <f>'Liquiditätsplan-1.Jahr'!I14</f>
        <v>0</v>
      </c>
      <c r="I10" s="828">
        <f>'Liquiditätsplan-1.Jahr'!J14</f>
        <v>0</v>
      </c>
      <c r="J10" s="828">
        <f>'Liquiditätsplan-1.Jahr'!K14</f>
        <v>0</v>
      </c>
      <c r="K10" s="828">
        <f>'Liquiditätsplan-1.Jahr'!L14</f>
        <v>0</v>
      </c>
      <c r="L10" s="828">
        <f>'Liquiditätsplan-1.Jahr'!M14</f>
        <v>0</v>
      </c>
      <c r="M10" s="828">
        <f>'Liquiditätsplan-1.Jahr'!N14</f>
        <v>0</v>
      </c>
      <c r="N10" s="828">
        <f>'Liquiditätsplan-1.Jahr'!O14</f>
        <v>0</v>
      </c>
      <c r="O10" s="655">
        <f>SUM(C10:N10)</f>
        <v>0</v>
      </c>
      <c r="P10" s="656" t="str">
        <f>IF(AND(ABS(O10-B10)&gt;100,O10&lt;&gt;0),"Überprüfe Eintragung","")</f>
        <v/>
      </c>
      <c r="Q10" s="630"/>
      <c r="R10" s="630"/>
      <c r="S10" s="630"/>
      <c r="T10" s="630"/>
      <c r="U10" s="630"/>
      <c r="V10" s="630"/>
      <c r="W10" s="630"/>
      <c r="X10" s="630"/>
      <c r="Y10" s="630"/>
      <c r="Z10" s="630"/>
      <c r="AA10" s="630"/>
      <c r="AB10" s="630"/>
      <c r="AC10" s="630"/>
    </row>
    <row r="11" spans="1:30" s="1" customFormat="1" ht="15.6">
      <c r="A11" s="662"/>
      <c r="B11" s="664"/>
      <c r="C11" s="731" t="str">
        <f>IF(Hilfstabelle!$B$153="nein","&lt;","")</f>
        <v/>
      </c>
      <c r="D11" s="731" t="str">
        <f>IF(Hilfstabelle!$B$153="nein","-","")</f>
        <v/>
      </c>
      <c r="E11" s="731" t="str">
        <f>IF(Hilfstabelle!$B$153="nein","-","")</f>
        <v/>
      </c>
      <c r="F11" s="731" t="str">
        <f>IF(Hilfstabelle!$B$153="nein","-","")</f>
        <v/>
      </c>
      <c r="G11" s="731" t="str">
        <f>IF(Hilfstabelle!$B$153="nein","-","")</f>
        <v/>
      </c>
      <c r="H11" s="1350" t="str">
        <f>IF(Hilfstabelle!$B$153="nein","Kleinunternehmerregelung","")</f>
        <v/>
      </c>
      <c r="I11" s="1350"/>
      <c r="J11" s="731" t="str">
        <f>IF(Hilfstabelle!$B$153="nein","-","")</f>
        <v/>
      </c>
      <c r="K11" s="731" t="str">
        <f>IF(Hilfstabelle!$B$153="nein","-","")</f>
        <v/>
      </c>
      <c r="L11" s="731" t="str">
        <f>IF(Hilfstabelle!$B$153="nein","-","")</f>
        <v/>
      </c>
      <c r="M11" s="731" t="str">
        <f>IF(Hilfstabelle!$B$153="nein","-","")</f>
        <v/>
      </c>
      <c r="N11" s="731" t="str">
        <f>IF(Hilfstabelle!$B$153="nein","&gt;","")</f>
        <v/>
      </c>
      <c r="O11" s="665"/>
      <c r="P11" s="656"/>
      <c r="Q11" s="630"/>
      <c r="R11" s="630"/>
      <c r="S11" s="630"/>
      <c r="T11" s="630"/>
      <c r="U11" s="630"/>
      <c r="V11" s="630"/>
      <c r="W11" s="630"/>
      <c r="X11" s="630"/>
      <c r="Y11" s="630"/>
      <c r="Z11" s="630"/>
      <c r="AA11" s="630"/>
      <c r="AB11" s="630"/>
      <c r="AC11" s="630"/>
    </row>
    <row r="12" spans="1:30" s="1" customFormat="1" ht="15.6">
      <c r="A12" s="666" t="s">
        <v>603</v>
      </c>
      <c r="B12" s="668"/>
      <c r="C12" s="685"/>
      <c r="D12" s="685"/>
      <c r="E12" s="685"/>
      <c r="F12" s="685"/>
      <c r="G12" s="685"/>
      <c r="H12" s="685"/>
      <c r="I12" s="685"/>
      <c r="J12" s="685"/>
      <c r="K12" s="685"/>
      <c r="L12" s="685"/>
      <c r="M12" s="685"/>
      <c r="N12" s="685"/>
      <c r="O12" s="684"/>
      <c r="P12" s="656"/>
      <c r="Q12" s="630"/>
      <c r="R12" s="630"/>
      <c r="S12" s="630"/>
      <c r="T12" s="630"/>
      <c r="U12" s="630"/>
      <c r="V12" s="630"/>
      <c r="W12" s="630"/>
      <c r="X12" s="630"/>
      <c r="Y12" s="630"/>
      <c r="Z12" s="630"/>
      <c r="AA12" s="630"/>
      <c r="AB12" s="630"/>
      <c r="AC12" s="630"/>
    </row>
    <row r="13" spans="1:30" s="1" customFormat="1" ht="17.25" customHeight="1">
      <c r="A13" s="657" t="s">
        <v>82</v>
      </c>
      <c r="B13" s="659">
        <f>Rentabilität!F34</f>
        <v>0</v>
      </c>
      <c r="C13" s="828">
        <f>'Liquiditätsplan-1.Jahr'!D24</f>
        <v>0</v>
      </c>
      <c r="D13" s="828">
        <f>'Liquiditätsplan-1.Jahr'!E24</f>
        <v>0</v>
      </c>
      <c r="E13" s="828">
        <f>'Liquiditätsplan-1.Jahr'!F24</f>
        <v>0</v>
      </c>
      <c r="F13" s="828">
        <f>'Liquiditätsplan-1.Jahr'!G24</f>
        <v>0</v>
      </c>
      <c r="G13" s="828">
        <f>'Liquiditätsplan-1.Jahr'!H24</f>
        <v>0</v>
      </c>
      <c r="H13" s="828">
        <f>'Liquiditätsplan-1.Jahr'!I24</f>
        <v>0</v>
      </c>
      <c r="I13" s="828">
        <f>'Liquiditätsplan-1.Jahr'!J24</f>
        <v>0</v>
      </c>
      <c r="J13" s="828">
        <f>'Liquiditätsplan-1.Jahr'!K24</f>
        <v>0</v>
      </c>
      <c r="K13" s="828">
        <f>'Liquiditätsplan-1.Jahr'!L24</f>
        <v>0</v>
      </c>
      <c r="L13" s="828">
        <f>'Liquiditätsplan-1.Jahr'!M24</f>
        <v>0</v>
      </c>
      <c r="M13" s="828">
        <f>'Liquiditätsplan-1.Jahr'!N24</f>
        <v>0</v>
      </c>
      <c r="N13" s="828">
        <f>'Liquiditätsplan-1.Jahr'!O24</f>
        <v>0</v>
      </c>
      <c r="O13" s="675">
        <f t="shared" ref="O13:O37" si="1">SUM(C13:N13)</f>
        <v>0</v>
      </c>
      <c r="P13" s="656" t="str">
        <f t="shared" ref="P13:P33" si="2">IF(AND(ABS(O13-B13)&gt;50,O13&lt;&gt;0),"Überprüfe Eintragung","")</f>
        <v/>
      </c>
      <c r="Q13" s="630"/>
      <c r="R13" s="630"/>
      <c r="S13" s="630"/>
      <c r="T13" s="630"/>
      <c r="U13" s="630"/>
      <c r="V13" s="630"/>
      <c r="W13" s="630"/>
      <c r="X13" s="630"/>
      <c r="Y13" s="630"/>
      <c r="Z13" s="630"/>
      <c r="AA13" s="630"/>
      <c r="AB13" s="630"/>
      <c r="AC13" s="630"/>
    </row>
    <row r="14" spans="1:30" s="1" customFormat="1" ht="17.25" customHeight="1">
      <c r="A14" s="657" t="s">
        <v>83</v>
      </c>
      <c r="B14" s="659">
        <f>Rentabilität!F23</f>
        <v>0</v>
      </c>
      <c r="C14" s="828">
        <f>'Liquiditätsplan-1.Jahr'!D25</f>
        <v>0</v>
      </c>
      <c r="D14" s="828">
        <f>'Liquiditätsplan-1.Jahr'!E25</f>
        <v>0</v>
      </c>
      <c r="E14" s="828">
        <f>'Liquiditätsplan-1.Jahr'!F25</f>
        <v>0</v>
      </c>
      <c r="F14" s="828">
        <f>'Liquiditätsplan-1.Jahr'!G25</f>
        <v>0</v>
      </c>
      <c r="G14" s="828">
        <f>'Liquiditätsplan-1.Jahr'!H25</f>
        <v>0</v>
      </c>
      <c r="H14" s="828">
        <f>'Liquiditätsplan-1.Jahr'!I25</f>
        <v>0</v>
      </c>
      <c r="I14" s="828">
        <f>'Liquiditätsplan-1.Jahr'!J25</f>
        <v>0</v>
      </c>
      <c r="J14" s="828">
        <f>'Liquiditätsplan-1.Jahr'!K25</f>
        <v>0</v>
      </c>
      <c r="K14" s="828">
        <f>'Liquiditätsplan-1.Jahr'!L25</f>
        <v>0</v>
      </c>
      <c r="L14" s="828">
        <f>'Liquiditätsplan-1.Jahr'!M25</f>
        <v>0</v>
      </c>
      <c r="M14" s="828">
        <f>'Liquiditätsplan-1.Jahr'!N25</f>
        <v>0</v>
      </c>
      <c r="N14" s="828">
        <f>'Liquiditätsplan-1.Jahr'!O25</f>
        <v>0</v>
      </c>
      <c r="O14" s="675">
        <f t="shared" si="1"/>
        <v>0</v>
      </c>
      <c r="P14" s="656" t="str">
        <f t="shared" si="2"/>
        <v/>
      </c>
      <c r="Q14" s="630"/>
      <c r="R14" s="630"/>
      <c r="S14" s="630"/>
      <c r="T14" s="630"/>
      <c r="U14" s="630"/>
      <c r="V14" s="630"/>
      <c r="W14" s="630"/>
      <c r="X14" s="630"/>
      <c r="Y14" s="630"/>
      <c r="Z14" s="630"/>
      <c r="AA14" s="630"/>
      <c r="AB14" s="630"/>
      <c r="AC14" s="630"/>
    </row>
    <row r="15" spans="1:30" s="1" customFormat="1" ht="17.25" customHeight="1">
      <c r="A15" s="670" t="s">
        <v>123</v>
      </c>
      <c r="B15" s="672">
        <f>Rentabilität!F36</f>
        <v>0</v>
      </c>
      <c r="C15" s="828">
        <f>'Liquiditätsplan-1.Jahr'!D26</f>
        <v>0</v>
      </c>
      <c r="D15" s="828">
        <f>'Liquiditätsplan-1.Jahr'!E26</f>
        <v>0</v>
      </c>
      <c r="E15" s="828">
        <f>'Liquiditätsplan-1.Jahr'!F26</f>
        <v>0</v>
      </c>
      <c r="F15" s="828">
        <f>'Liquiditätsplan-1.Jahr'!G26</f>
        <v>0</v>
      </c>
      <c r="G15" s="828">
        <f>'Liquiditätsplan-1.Jahr'!H26</f>
        <v>0</v>
      </c>
      <c r="H15" s="828">
        <f>'Liquiditätsplan-1.Jahr'!I26</f>
        <v>0</v>
      </c>
      <c r="I15" s="828">
        <f>'Liquiditätsplan-1.Jahr'!J26</f>
        <v>0</v>
      </c>
      <c r="J15" s="828">
        <f>'Liquiditätsplan-1.Jahr'!K26</f>
        <v>0</v>
      </c>
      <c r="K15" s="828">
        <f>'Liquiditätsplan-1.Jahr'!L26</f>
        <v>0</v>
      </c>
      <c r="L15" s="828">
        <f>'Liquiditätsplan-1.Jahr'!M26</f>
        <v>0</v>
      </c>
      <c r="M15" s="828">
        <f>'Liquiditätsplan-1.Jahr'!N26</f>
        <v>0</v>
      </c>
      <c r="N15" s="828">
        <f>'Liquiditätsplan-1.Jahr'!O26</f>
        <v>0</v>
      </c>
      <c r="O15" s="675">
        <f t="shared" si="1"/>
        <v>0</v>
      </c>
      <c r="P15" s="656" t="str">
        <f t="shared" si="2"/>
        <v/>
      </c>
      <c r="Q15" s="630"/>
      <c r="R15" s="630"/>
      <c r="S15" s="630"/>
      <c r="T15" s="630"/>
      <c r="U15" s="630"/>
      <c r="V15" s="630"/>
      <c r="W15" s="630"/>
      <c r="X15" s="630"/>
      <c r="Y15" s="630"/>
      <c r="Z15" s="630"/>
      <c r="AA15" s="630"/>
      <c r="AB15" s="630"/>
      <c r="AC15" s="630"/>
    </row>
    <row r="16" spans="1:30" s="1" customFormat="1" ht="17.25" customHeight="1">
      <c r="A16" s="657" t="str">
        <f>'übrige Kosten'!A10</f>
        <v>Raumkosten (Miete, Pacht)</v>
      </c>
      <c r="B16" s="659">
        <f>'übrige Kosten'!C10</f>
        <v>0</v>
      </c>
      <c r="C16" s="828">
        <f>'Liquiditätsplan-1.Jahr'!D27</f>
        <v>0</v>
      </c>
      <c r="D16" s="828">
        <f>'Liquiditätsplan-1.Jahr'!E27</f>
        <v>0</v>
      </c>
      <c r="E16" s="828">
        <f>'Liquiditätsplan-1.Jahr'!F27</f>
        <v>0</v>
      </c>
      <c r="F16" s="828">
        <f>'Liquiditätsplan-1.Jahr'!G27</f>
        <v>0</v>
      </c>
      <c r="G16" s="828">
        <f>'Liquiditätsplan-1.Jahr'!H27</f>
        <v>0</v>
      </c>
      <c r="H16" s="828">
        <f>'Liquiditätsplan-1.Jahr'!I27</f>
        <v>0</v>
      </c>
      <c r="I16" s="828">
        <f>'Liquiditätsplan-1.Jahr'!J27</f>
        <v>0</v>
      </c>
      <c r="J16" s="828">
        <f>'Liquiditätsplan-1.Jahr'!K27</f>
        <v>0</v>
      </c>
      <c r="K16" s="828">
        <f>'Liquiditätsplan-1.Jahr'!L27</f>
        <v>0</v>
      </c>
      <c r="L16" s="828">
        <f>'Liquiditätsplan-1.Jahr'!M27</f>
        <v>0</v>
      </c>
      <c r="M16" s="828">
        <f>'Liquiditätsplan-1.Jahr'!N27</f>
        <v>0</v>
      </c>
      <c r="N16" s="828">
        <f>'Liquiditätsplan-1.Jahr'!O27</f>
        <v>0</v>
      </c>
      <c r="O16" s="675">
        <f t="shared" si="1"/>
        <v>0</v>
      </c>
      <c r="P16" s="656" t="str">
        <f t="shared" si="2"/>
        <v/>
      </c>
      <c r="Q16" s="630"/>
      <c r="R16" s="630"/>
      <c r="S16" s="630"/>
      <c r="T16" s="630"/>
      <c r="U16" s="630"/>
      <c r="V16" s="630"/>
      <c r="W16" s="630"/>
      <c r="X16" s="630"/>
      <c r="Y16" s="630"/>
      <c r="Z16" s="630"/>
      <c r="AA16" s="630"/>
      <c r="AB16" s="630"/>
      <c r="AC16" s="630"/>
    </row>
    <row r="17" spans="1:29" s="1" customFormat="1" ht="17.25" customHeight="1">
      <c r="A17" s="657" t="str">
        <f>'übrige Kosten'!A11</f>
        <v>Energiekosten (Strom, Heizung, Wasser)</v>
      </c>
      <c r="B17" s="659">
        <f>'übrige Kosten'!C11</f>
        <v>0</v>
      </c>
      <c r="C17" s="828">
        <f>'Liquiditätsplan-1.Jahr'!D28</f>
        <v>0</v>
      </c>
      <c r="D17" s="828">
        <f>'Liquiditätsplan-1.Jahr'!E28</f>
        <v>0</v>
      </c>
      <c r="E17" s="828">
        <f>'Liquiditätsplan-1.Jahr'!F28</f>
        <v>0</v>
      </c>
      <c r="F17" s="828">
        <f>'Liquiditätsplan-1.Jahr'!G28</f>
        <v>0</v>
      </c>
      <c r="G17" s="828">
        <f>'Liquiditätsplan-1.Jahr'!H28</f>
        <v>0</v>
      </c>
      <c r="H17" s="828">
        <f>'Liquiditätsplan-1.Jahr'!I28</f>
        <v>0</v>
      </c>
      <c r="I17" s="828">
        <f>'Liquiditätsplan-1.Jahr'!J28</f>
        <v>0</v>
      </c>
      <c r="J17" s="828">
        <f>'Liquiditätsplan-1.Jahr'!K28</f>
        <v>0</v>
      </c>
      <c r="K17" s="828">
        <f>'Liquiditätsplan-1.Jahr'!L28</f>
        <v>0</v>
      </c>
      <c r="L17" s="828">
        <f>'Liquiditätsplan-1.Jahr'!M28</f>
        <v>0</v>
      </c>
      <c r="M17" s="828">
        <f>'Liquiditätsplan-1.Jahr'!N28</f>
        <v>0</v>
      </c>
      <c r="N17" s="828">
        <f>'Liquiditätsplan-1.Jahr'!O28</f>
        <v>0</v>
      </c>
      <c r="O17" s="675">
        <f t="shared" si="1"/>
        <v>0</v>
      </c>
      <c r="P17" s="656" t="str">
        <f t="shared" si="2"/>
        <v/>
      </c>
      <c r="Q17" s="630"/>
      <c r="R17" s="630"/>
      <c r="S17" s="630"/>
      <c r="T17" s="630"/>
      <c r="U17" s="630"/>
      <c r="V17" s="630"/>
      <c r="W17" s="630"/>
      <c r="X17" s="630"/>
      <c r="Y17" s="630"/>
      <c r="Z17" s="630"/>
      <c r="AA17" s="630"/>
      <c r="AB17" s="630"/>
      <c r="AC17" s="630"/>
    </row>
    <row r="18" spans="1:29" s="1" customFormat="1" ht="17.25" customHeight="1">
      <c r="A18" s="657" t="str">
        <f>'übrige Kosten'!A12</f>
        <v>Versicherung, Beiträge</v>
      </c>
      <c r="B18" s="659">
        <f>'übrige Kosten'!C12</f>
        <v>0</v>
      </c>
      <c r="C18" s="828">
        <f>'Liquiditätsplan-1.Jahr'!D29</f>
        <v>0</v>
      </c>
      <c r="D18" s="828">
        <f>'Liquiditätsplan-1.Jahr'!E29</f>
        <v>0</v>
      </c>
      <c r="E18" s="828">
        <f>'Liquiditätsplan-1.Jahr'!F29</f>
        <v>0</v>
      </c>
      <c r="F18" s="828">
        <f>'Liquiditätsplan-1.Jahr'!G29</f>
        <v>0</v>
      </c>
      <c r="G18" s="828">
        <f>'Liquiditätsplan-1.Jahr'!H29</f>
        <v>0</v>
      </c>
      <c r="H18" s="828">
        <f>'Liquiditätsplan-1.Jahr'!I29</f>
        <v>0</v>
      </c>
      <c r="I18" s="828">
        <f>'Liquiditätsplan-1.Jahr'!J29</f>
        <v>0</v>
      </c>
      <c r="J18" s="828">
        <f>'Liquiditätsplan-1.Jahr'!K29</f>
        <v>0</v>
      </c>
      <c r="K18" s="828">
        <f>'Liquiditätsplan-1.Jahr'!L29</f>
        <v>0</v>
      </c>
      <c r="L18" s="828">
        <f>'Liquiditätsplan-1.Jahr'!M29</f>
        <v>0</v>
      </c>
      <c r="M18" s="828">
        <f>'Liquiditätsplan-1.Jahr'!N29</f>
        <v>0</v>
      </c>
      <c r="N18" s="828">
        <f>'Liquiditätsplan-1.Jahr'!O29</f>
        <v>0</v>
      </c>
      <c r="O18" s="675">
        <f t="shared" si="1"/>
        <v>0</v>
      </c>
      <c r="P18" s="656" t="str">
        <f t="shared" si="2"/>
        <v/>
      </c>
      <c r="Q18" s="630"/>
      <c r="R18" s="630"/>
      <c r="S18" s="630"/>
      <c r="T18" s="630"/>
      <c r="U18" s="630"/>
      <c r="V18" s="630"/>
      <c r="W18" s="630"/>
      <c r="X18" s="630"/>
      <c r="Y18" s="630"/>
      <c r="Z18" s="630"/>
      <c r="AA18" s="630"/>
      <c r="AB18" s="630"/>
      <c r="AC18" s="630"/>
    </row>
    <row r="19" spans="1:29" s="1" customFormat="1" ht="17.25" customHeight="1">
      <c r="A19" s="657" t="str">
        <f>'übrige Kosten'!A13</f>
        <v>Kfz-Kosten (incl. Leasing, Steuern, Vers., Rep., ohne AfA)</v>
      </c>
      <c r="B19" s="659">
        <f>'übrige Kosten'!C13</f>
        <v>0</v>
      </c>
      <c r="C19" s="828">
        <f>'Liquiditätsplan-1.Jahr'!D30</f>
        <v>0</v>
      </c>
      <c r="D19" s="828">
        <f>'Liquiditätsplan-1.Jahr'!E30</f>
        <v>0</v>
      </c>
      <c r="E19" s="828">
        <f>'Liquiditätsplan-1.Jahr'!F30</f>
        <v>0</v>
      </c>
      <c r="F19" s="828">
        <f>'Liquiditätsplan-1.Jahr'!G30</f>
        <v>0</v>
      </c>
      <c r="G19" s="828">
        <f>'Liquiditätsplan-1.Jahr'!H30</f>
        <v>0</v>
      </c>
      <c r="H19" s="828">
        <f>'Liquiditätsplan-1.Jahr'!I30</f>
        <v>0</v>
      </c>
      <c r="I19" s="828">
        <f>'Liquiditätsplan-1.Jahr'!J30</f>
        <v>0</v>
      </c>
      <c r="J19" s="828">
        <f>'Liquiditätsplan-1.Jahr'!K30</f>
        <v>0</v>
      </c>
      <c r="K19" s="828">
        <f>'Liquiditätsplan-1.Jahr'!L30</f>
        <v>0</v>
      </c>
      <c r="L19" s="828">
        <f>'Liquiditätsplan-1.Jahr'!M30</f>
        <v>0</v>
      </c>
      <c r="M19" s="828">
        <f>'Liquiditätsplan-1.Jahr'!N30</f>
        <v>0</v>
      </c>
      <c r="N19" s="828">
        <f>'Liquiditätsplan-1.Jahr'!O30</f>
        <v>0</v>
      </c>
      <c r="O19" s="675">
        <f t="shared" si="1"/>
        <v>0</v>
      </c>
      <c r="P19" s="656" t="str">
        <f t="shared" si="2"/>
        <v/>
      </c>
      <c r="Q19" s="630"/>
      <c r="R19" s="630"/>
      <c r="S19" s="630"/>
      <c r="T19" s="630"/>
      <c r="U19" s="630"/>
      <c r="V19" s="630"/>
      <c r="W19" s="630"/>
      <c r="X19" s="630"/>
      <c r="Y19" s="630"/>
      <c r="Z19" s="630"/>
      <c r="AA19" s="630"/>
      <c r="AB19" s="630"/>
      <c r="AC19" s="630"/>
    </row>
    <row r="20" spans="1:29" s="1" customFormat="1" ht="17.25" customHeight="1">
      <c r="A20" s="657" t="str">
        <f>'übrige Kosten'!A14</f>
        <v>Werbung  / Reisekosten</v>
      </c>
      <c r="B20" s="659">
        <f>'übrige Kosten'!C14</f>
        <v>0</v>
      </c>
      <c r="C20" s="828">
        <f>'Liquiditätsplan-1.Jahr'!D31</f>
        <v>0</v>
      </c>
      <c r="D20" s="828">
        <f>'Liquiditätsplan-1.Jahr'!E31</f>
        <v>0</v>
      </c>
      <c r="E20" s="828">
        <f>'Liquiditätsplan-1.Jahr'!F31</f>
        <v>0</v>
      </c>
      <c r="F20" s="828">
        <f>'Liquiditätsplan-1.Jahr'!G31</f>
        <v>0</v>
      </c>
      <c r="G20" s="828">
        <f>'Liquiditätsplan-1.Jahr'!H31</f>
        <v>0</v>
      </c>
      <c r="H20" s="828">
        <f>'Liquiditätsplan-1.Jahr'!I31</f>
        <v>0</v>
      </c>
      <c r="I20" s="828">
        <f>'Liquiditätsplan-1.Jahr'!J31</f>
        <v>0</v>
      </c>
      <c r="J20" s="828">
        <f>'Liquiditätsplan-1.Jahr'!K31</f>
        <v>0</v>
      </c>
      <c r="K20" s="828">
        <f>'Liquiditätsplan-1.Jahr'!L31</f>
        <v>0</v>
      </c>
      <c r="L20" s="828">
        <f>'Liquiditätsplan-1.Jahr'!M31</f>
        <v>0</v>
      </c>
      <c r="M20" s="828">
        <f>'Liquiditätsplan-1.Jahr'!N31</f>
        <v>0</v>
      </c>
      <c r="N20" s="828">
        <f>'Liquiditätsplan-1.Jahr'!O31</f>
        <v>0</v>
      </c>
      <c r="O20" s="675">
        <f t="shared" si="1"/>
        <v>0</v>
      </c>
      <c r="P20" s="656" t="str">
        <f t="shared" si="2"/>
        <v/>
      </c>
      <c r="Q20" s="630"/>
      <c r="R20" s="630"/>
      <c r="S20" s="630"/>
      <c r="T20" s="630"/>
      <c r="U20" s="630"/>
      <c r="V20" s="630"/>
      <c r="W20" s="630"/>
      <c r="X20" s="630"/>
      <c r="Y20" s="630"/>
      <c r="Z20" s="630"/>
      <c r="AA20" s="630"/>
      <c r="AB20" s="630"/>
      <c r="AC20" s="630"/>
    </row>
    <row r="21" spans="1:29" s="1" customFormat="1" ht="17.25" customHeight="1">
      <c r="A21" s="657" t="str">
        <f>'übrige Kosten'!A15</f>
        <v>Kosten der Warenabgabe (incl.  Gewährleistungen)</v>
      </c>
      <c r="B21" s="659">
        <f>'übrige Kosten'!C15</f>
        <v>0</v>
      </c>
      <c r="C21" s="828">
        <f>'Liquiditätsplan-1.Jahr'!D32</f>
        <v>0</v>
      </c>
      <c r="D21" s="828">
        <f>'Liquiditätsplan-1.Jahr'!E32</f>
        <v>0</v>
      </c>
      <c r="E21" s="828">
        <f>'Liquiditätsplan-1.Jahr'!F32</f>
        <v>0</v>
      </c>
      <c r="F21" s="828">
        <f>'Liquiditätsplan-1.Jahr'!G32</f>
        <v>0</v>
      </c>
      <c r="G21" s="828">
        <f>'Liquiditätsplan-1.Jahr'!H32</f>
        <v>0</v>
      </c>
      <c r="H21" s="828">
        <f>'Liquiditätsplan-1.Jahr'!I32</f>
        <v>0</v>
      </c>
      <c r="I21" s="828">
        <f>'Liquiditätsplan-1.Jahr'!J32</f>
        <v>0</v>
      </c>
      <c r="J21" s="828">
        <f>'Liquiditätsplan-1.Jahr'!K32</f>
        <v>0</v>
      </c>
      <c r="K21" s="828">
        <f>'Liquiditätsplan-1.Jahr'!L32</f>
        <v>0</v>
      </c>
      <c r="L21" s="828">
        <f>'Liquiditätsplan-1.Jahr'!M32</f>
        <v>0</v>
      </c>
      <c r="M21" s="828">
        <f>'Liquiditätsplan-1.Jahr'!N32</f>
        <v>0</v>
      </c>
      <c r="N21" s="828">
        <f>'Liquiditätsplan-1.Jahr'!O32</f>
        <v>0</v>
      </c>
      <c r="O21" s="675">
        <f t="shared" si="1"/>
        <v>0</v>
      </c>
      <c r="P21" s="656" t="str">
        <f t="shared" si="2"/>
        <v/>
      </c>
      <c r="Q21" s="630"/>
      <c r="R21" s="630"/>
      <c r="S21" s="630"/>
      <c r="T21" s="630"/>
      <c r="U21" s="630"/>
      <c r="V21" s="630"/>
      <c r="W21" s="630"/>
      <c r="X21" s="630"/>
      <c r="Y21" s="630"/>
      <c r="Z21" s="630"/>
      <c r="AA21" s="630"/>
      <c r="AB21" s="630"/>
      <c r="AC21" s="630"/>
    </row>
    <row r="22" spans="1:29" s="1" customFormat="1" ht="17.25" customHeight="1">
      <c r="A22" s="657" t="s">
        <v>39</v>
      </c>
      <c r="B22" s="659">
        <f>'übrige Kosten'!C16</f>
        <v>0</v>
      </c>
      <c r="C22" s="828">
        <f>$B$22/12</f>
        <v>0</v>
      </c>
      <c r="D22" s="828">
        <f t="shared" ref="D22:N22" si="3">$B$22/12</f>
        <v>0</v>
      </c>
      <c r="E22" s="828">
        <f t="shared" si="3"/>
        <v>0</v>
      </c>
      <c r="F22" s="828">
        <f t="shared" si="3"/>
        <v>0</v>
      </c>
      <c r="G22" s="828">
        <f t="shared" si="3"/>
        <v>0</v>
      </c>
      <c r="H22" s="828">
        <f t="shared" si="3"/>
        <v>0</v>
      </c>
      <c r="I22" s="828">
        <f t="shared" si="3"/>
        <v>0</v>
      </c>
      <c r="J22" s="828">
        <f t="shared" si="3"/>
        <v>0</v>
      </c>
      <c r="K22" s="828">
        <f t="shared" si="3"/>
        <v>0</v>
      </c>
      <c r="L22" s="828">
        <f t="shared" si="3"/>
        <v>0</v>
      </c>
      <c r="M22" s="828">
        <f t="shared" si="3"/>
        <v>0</v>
      </c>
      <c r="N22" s="828">
        <f t="shared" si="3"/>
        <v>0</v>
      </c>
      <c r="O22" s="675">
        <f>SUM(C22:N22)</f>
        <v>0</v>
      </c>
      <c r="P22" s="656" t="str">
        <f t="shared" si="2"/>
        <v/>
      </c>
      <c r="Q22" s="630"/>
      <c r="R22" s="630"/>
      <c r="S22" s="630"/>
      <c r="T22" s="630"/>
      <c r="U22" s="630"/>
      <c r="V22" s="630"/>
      <c r="W22" s="630"/>
      <c r="X22" s="630"/>
      <c r="Y22" s="630"/>
      <c r="Z22" s="630"/>
      <c r="AA22" s="630"/>
      <c r="AB22" s="630"/>
      <c r="AC22" s="630"/>
    </row>
    <row r="23" spans="1:29" s="1" customFormat="1" ht="17.25" customHeight="1">
      <c r="A23" s="657" t="str">
        <f>'übrige Kosten'!A17</f>
        <v>Reparaturen, Instandhaltung</v>
      </c>
      <c r="B23" s="659">
        <f>'übrige Kosten'!C17</f>
        <v>0</v>
      </c>
      <c r="C23" s="828">
        <f>'Liquiditätsplan-1.Jahr'!D33</f>
        <v>0</v>
      </c>
      <c r="D23" s="828">
        <f>'Liquiditätsplan-1.Jahr'!E33</f>
        <v>0</v>
      </c>
      <c r="E23" s="828">
        <f>'Liquiditätsplan-1.Jahr'!F33</f>
        <v>0</v>
      </c>
      <c r="F23" s="828">
        <f>'Liquiditätsplan-1.Jahr'!G33</f>
        <v>0</v>
      </c>
      <c r="G23" s="828">
        <f>'Liquiditätsplan-1.Jahr'!H33</f>
        <v>0</v>
      </c>
      <c r="H23" s="828">
        <f>'Liquiditätsplan-1.Jahr'!I33</f>
        <v>0</v>
      </c>
      <c r="I23" s="828">
        <f>'Liquiditätsplan-1.Jahr'!J33</f>
        <v>0</v>
      </c>
      <c r="J23" s="828">
        <f>'Liquiditätsplan-1.Jahr'!K33</f>
        <v>0</v>
      </c>
      <c r="K23" s="828">
        <f>'Liquiditätsplan-1.Jahr'!L33</f>
        <v>0</v>
      </c>
      <c r="L23" s="828">
        <f>'Liquiditätsplan-1.Jahr'!M33</f>
        <v>0</v>
      </c>
      <c r="M23" s="828">
        <f>'Liquiditätsplan-1.Jahr'!N33</f>
        <v>0</v>
      </c>
      <c r="N23" s="828">
        <f>'Liquiditätsplan-1.Jahr'!O33</f>
        <v>0</v>
      </c>
      <c r="O23" s="675">
        <f t="shared" si="1"/>
        <v>0</v>
      </c>
      <c r="P23" s="656" t="str">
        <f t="shared" si="2"/>
        <v/>
      </c>
      <c r="Q23" s="630"/>
      <c r="R23" s="630"/>
      <c r="S23" s="630"/>
      <c r="T23" s="630"/>
      <c r="U23" s="630"/>
      <c r="V23" s="630"/>
      <c r="W23" s="630"/>
      <c r="X23" s="630"/>
      <c r="Y23" s="630"/>
      <c r="Z23" s="630"/>
      <c r="AA23" s="630"/>
      <c r="AB23" s="630"/>
      <c r="AC23" s="630"/>
    </row>
    <row r="24" spans="1:29" s="1" customFormat="1" ht="17.25" customHeight="1" outlineLevel="1">
      <c r="A24" s="657" t="str">
        <f>'übrige Kosten'!A18</f>
        <v>Büro (Telefon, Telefax, Internet)</v>
      </c>
      <c r="B24" s="659">
        <f>'übrige Kosten'!C18</f>
        <v>0</v>
      </c>
      <c r="C24" s="828">
        <f>'Liquiditätsplan-1.Jahr'!D34</f>
        <v>0</v>
      </c>
      <c r="D24" s="828">
        <f>'Liquiditätsplan-1.Jahr'!E34</f>
        <v>0</v>
      </c>
      <c r="E24" s="828">
        <f>'Liquiditätsplan-1.Jahr'!F34</f>
        <v>0</v>
      </c>
      <c r="F24" s="828">
        <f>'Liquiditätsplan-1.Jahr'!G34</f>
        <v>0</v>
      </c>
      <c r="G24" s="828">
        <f>'Liquiditätsplan-1.Jahr'!H34</f>
        <v>0</v>
      </c>
      <c r="H24" s="828">
        <f>'Liquiditätsplan-1.Jahr'!I34</f>
        <v>0</v>
      </c>
      <c r="I24" s="828">
        <f>'Liquiditätsplan-1.Jahr'!J34</f>
        <v>0</v>
      </c>
      <c r="J24" s="828">
        <f>'Liquiditätsplan-1.Jahr'!K34</f>
        <v>0</v>
      </c>
      <c r="K24" s="828">
        <f>'Liquiditätsplan-1.Jahr'!L34</f>
        <v>0</v>
      </c>
      <c r="L24" s="828">
        <f>'Liquiditätsplan-1.Jahr'!M34</f>
        <v>0</v>
      </c>
      <c r="M24" s="828">
        <f>'Liquiditätsplan-1.Jahr'!N34</f>
        <v>0</v>
      </c>
      <c r="N24" s="828">
        <f>'Liquiditätsplan-1.Jahr'!O34</f>
        <v>0</v>
      </c>
      <c r="O24" s="675">
        <f t="shared" si="1"/>
        <v>0</v>
      </c>
      <c r="P24" s="656" t="str">
        <f t="shared" si="2"/>
        <v/>
      </c>
      <c r="Q24" s="630"/>
      <c r="R24" s="630"/>
      <c r="S24" s="630"/>
      <c r="T24" s="630"/>
      <c r="U24" s="630"/>
      <c r="V24" s="630"/>
      <c r="W24" s="630"/>
      <c r="X24" s="630"/>
      <c r="Y24" s="630"/>
      <c r="Z24" s="630"/>
      <c r="AA24" s="630"/>
      <c r="AB24" s="630"/>
      <c r="AC24" s="630"/>
    </row>
    <row r="25" spans="1:29" s="1" customFormat="1" ht="17.25" customHeight="1" outlineLevel="1">
      <c r="A25" s="657" t="str">
        <f>'übrige Kosten'!A19</f>
        <v>Büro (Porto, Zeitschriften, sonst. Bürobedarf)</v>
      </c>
      <c r="B25" s="659">
        <f>'übrige Kosten'!C19</f>
        <v>0</v>
      </c>
      <c r="C25" s="828">
        <f>'Liquiditätsplan-1.Jahr'!D35</f>
        <v>0</v>
      </c>
      <c r="D25" s="828">
        <f>'Liquiditätsplan-1.Jahr'!E35</f>
        <v>0</v>
      </c>
      <c r="E25" s="828">
        <f>'Liquiditätsplan-1.Jahr'!F35</f>
        <v>0</v>
      </c>
      <c r="F25" s="828">
        <f>'Liquiditätsplan-1.Jahr'!G35</f>
        <v>0</v>
      </c>
      <c r="G25" s="828">
        <f>'Liquiditätsplan-1.Jahr'!H35</f>
        <v>0</v>
      </c>
      <c r="H25" s="828">
        <f>'Liquiditätsplan-1.Jahr'!I35</f>
        <v>0</v>
      </c>
      <c r="I25" s="828">
        <f>'Liquiditätsplan-1.Jahr'!J35</f>
        <v>0</v>
      </c>
      <c r="J25" s="828">
        <f>'Liquiditätsplan-1.Jahr'!K35</f>
        <v>0</v>
      </c>
      <c r="K25" s="828">
        <f>'Liquiditätsplan-1.Jahr'!L35</f>
        <v>0</v>
      </c>
      <c r="L25" s="828">
        <f>'Liquiditätsplan-1.Jahr'!M35</f>
        <v>0</v>
      </c>
      <c r="M25" s="828">
        <f>'Liquiditätsplan-1.Jahr'!N35</f>
        <v>0</v>
      </c>
      <c r="N25" s="828">
        <f>'Liquiditätsplan-1.Jahr'!O35</f>
        <v>0</v>
      </c>
      <c r="O25" s="675">
        <f t="shared" si="1"/>
        <v>0</v>
      </c>
      <c r="P25" s="656" t="str">
        <f t="shared" si="2"/>
        <v/>
      </c>
      <c r="Q25" s="630"/>
      <c r="R25" s="630"/>
      <c r="S25" s="630"/>
      <c r="T25" s="630"/>
      <c r="U25" s="630"/>
      <c r="V25" s="630"/>
      <c r="W25" s="630"/>
      <c r="X25" s="630"/>
      <c r="Y25" s="630"/>
      <c r="Z25" s="630"/>
      <c r="AA25" s="630"/>
      <c r="AB25" s="630"/>
      <c r="AC25" s="630"/>
    </row>
    <row r="26" spans="1:29" s="1" customFormat="1" ht="17.25" customHeight="1" outlineLevel="1">
      <c r="A26" s="657" t="str">
        <f>'übrige Kosten'!A20</f>
        <v>Buchführung und Abschlusskosten / Beratungskosten</v>
      </c>
      <c r="B26" s="659">
        <f>'übrige Kosten'!C20</f>
        <v>0</v>
      </c>
      <c r="C26" s="828">
        <f>'Liquiditätsplan-1.Jahr'!D36</f>
        <v>0</v>
      </c>
      <c r="D26" s="828">
        <f>'Liquiditätsplan-1.Jahr'!E36</f>
        <v>0</v>
      </c>
      <c r="E26" s="828">
        <f>'Liquiditätsplan-1.Jahr'!F36</f>
        <v>0</v>
      </c>
      <c r="F26" s="828">
        <f>'Liquiditätsplan-1.Jahr'!G36</f>
        <v>0</v>
      </c>
      <c r="G26" s="828">
        <f>'Liquiditätsplan-1.Jahr'!H36</f>
        <v>0</v>
      </c>
      <c r="H26" s="828">
        <f>'Liquiditätsplan-1.Jahr'!I36</f>
        <v>0</v>
      </c>
      <c r="I26" s="828">
        <f>'Liquiditätsplan-1.Jahr'!J36</f>
        <v>0</v>
      </c>
      <c r="J26" s="828">
        <f>'Liquiditätsplan-1.Jahr'!K36</f>
        <v>0</v>
      </c>
      <c r="K26" s="828">
        <f>'Liquiditätsplan-1.Jahr'!L36</f>
        <v>0</v>
      </c>
      <c r="L26" s="828">
        <f>'Liquiditätsplan-1.Jahr'!M36</f>
        <v>0</v>
      </c>
      <c r="M26" s="828">
        <f>'Liquiditätsplan-1.Jahr'!N36</f>
        <v>0</v>
      </c>
      <c r="N26" s="828">
        <f>'Liquiditätsplan-1.Jahr'!O36</f>
        <v>0</v>
      </c>
      <c r="O26" s="675">
        <f t="shared" si="1"/>
        <v>0</v>
      </c>
      <c r="P26" s="656" t="str">
        <f t="shared" si="2"/>
        <v/>
      </c>
      <c r="Q26" s="630"/>
      <c r="R26" s="630"/>
      <c r="S26" s="630"/>
      <c r="T26" s="630"/>
      <c r="U26" s="630"/>
      <c r="V26" s="630"/>
      <c r="W26" s="630"/>
      <c r="X26" s="630"/>
      <c r="Y26" s="630"/>
      <c r="Z26" s="630"/>
      <c r="AA26" s="630"/>
      <c r="AB26" s="630"/>
      <c r="AC26" s="630"/>
    </row>
    <row r="27" spans="1:29" s="1" customFormat="1" ht="17.25" customHeight="1" outlineLevel="1">
      <c r="A27" s="657" t="str">
        <f>'übrige Kosten'!A21</f>
        <v>Miete / Leasing (ohne Kfz) für bewegliche Wirtschaftsgüter</v>
      </c>
      <c r="B27" s="659">
        <f>'übrige Kosten'!C21</f>
        <v>0</v>
      </c>
      <c r="C27" s="828">
        <f>'Liquiditätsplan-1.Jahr'!D37</f>
        <v>0</v>
      </c>
      <c r="D27" s="828">
        <f>'Liquiditätsplan-1.Jahr'!E37</f>
        <v>0</v>
      </c>
      <c r="E27" s="828">
        <f>'Liquiditätsplan-1.Jahr'!F37</f>
        <v>0</v>
      </c>
      <c r="F27" s="828">
        <f>'Liquiditätsplan-1.Jahr'!G37</f>
        <v>0</v>
      </c>
      <c r="G27" s="828">
        <f>'Liquiditätsplan-1.Jahr'!H37</f>
        <v>0</v>
      </c>
      <c r="H27" s="828">
        <f>'Liquiditätsplan-1.Jahr'!I37</f>
        <v>0</v>
      </c>
      <c r="I27" s="828">
        <f>'Liquiditätsplan-1.Jahr'!J37</f>
        <v>0</v>
      </c>
      <c r="J27" s="828">
        <f>'Liquiditätsplan-1.Jahr'!K37</f>
        <v>0</v>
      </c>
      <c r="K27" s="828">
        <f>'Liquiditätsplan-1.Jahr'!L37</f>
        <v>0</v>
      </c>
      <c r="L27" s="828">
        <f>'Liquiditätsplan-1.Jahr'!M37</f>
        <v>0</v>
      </c>
      <c r="M27" s="828">
        <f>'Liquiditätsplan-1.Jahr'!N37</f>
        <v>0</v>
      </c>
      <c r="N27" s="828">
        <f>'Liquiditätsplan-1.Jahr'!O37</f>
        <v>0</v>
      </c>
      <c r="O27" s="675">
        <f t="shared" si="1"/>
        <v>0</v>
      </c>
      <c r="P27" s="656" t="str">
        <f t="shared" si="2"/>
        <v/>
      </c>
      <c r="Q27" s="630"/>
      <c r="R27" s="630"/>
      <c r="S27" s="630"/>
      <c r="T27" s="630"/>
      <c r="U27" s="630"/>
      <c r="V27" s="630"/>
      <c r="W27" s="630"/>
      <c r="X27" s="630"/>
      <c r="Y27" s="630"/>
      <c r="Z27" s="630"/>
      <c r="AA27" s="630"/>
      <c r="AB27" s="630"/>
      <c r="AC27" s="630"/>
    </row>
    <row r="28" spans="1:29" s="1" customFormat="1" ht="17.25" customHeight="1" outlineLevel="1">
      <c r="A28" s="657" t="str">
        <f>'übrige Kosten'!A22</f>
        <v>Abraum - und Abfallbeseitigung</v>
      </c>
      <c r="B28" s="659">
        <f>'übrige Kosten'!C22</f>
        <v>0</v>
      </c>
      <c r="C28" s="828">
        <f>'Liquiditätsplan-1.Jahr'!D38</f>
        <v>0</v>
      </c>
      <c r="D28" s="828">
        <f>'Liquiditätsplan-1.Jahr'!E38</f>
        <v>0</v>
      </c>
      <c r="E28" s="828">
        <f>'Liquiditätsplan-1.Jahr'!F38</f>
        <v>0</v>
      </c>
      <c r="F28" s="828">
        <f>'Liquiditätsplan-1.Jahr'!G38</f>
        <v>0</v>
      </c>
      <c r="G28" s="828">
        <f>'Liquiditätsplan-1.Jahr'!H38</f>
        <v>0</v>
      </c>
      <c r="H28" s="828">
        <f>'Liquiditätsplan-1.Jahr'!I38</f>
        <v>0</v>
      </c>
      <c r="I28" s="828">
        <f>'Liquiditätsplan-1.Jahr'!J38</f>
        <v>0</v>
      </c>
      <c r="J28" s="828">
        <f>'Liquiditätsplan-1.Jahr'!K38</f>
        <v>0</v>
      </c>
      <c r="K28" s="828">
        <f>'Liquiditätsplan-1.Jahr'!L38</f>
        <v>0</v>
      </c>
      <c r="L28" s="828">
        <f>'Liquiditätsplan-1.Jahr'!M38</f>
        <v>0</v>
      </c>
      <c r="M28" s="828">
        <f>'Liquiditätsplan-1.Jahr'!N38</f>
        <v>0</v>
      </c>
      <c r="N28" s="828">
        <f>'Liquiditätsplan-1.Jahr'!O38</f>
        <v>0</v>
      </c>
      <c r="O28" s="675">
        <f t="shared" si="1"/>
        <v>0</v>
      </c>
      <c r="P28" s="656" t="str">
        <f t="shared" si="2"/>
        <v/>
      </c>
      <c r="Q28" s="630"/>
      <c r="R28" s="630"/>
      <c r="S28" s="630"/>
      <c r="T28" s="630"/>
      <c r="U28" s="630"/>
      <c r="V28" s="630"/>
      <c r="W28" s="630"/>
      <c r="X28" s="630"/>
      <c r="Y28" s="630"/>
      <c r="Z28" s="630"/>
      <c r="AA28" s="630"/>
      <c r="AB28" s="630"/>
      <c r="AC28" s="630"/>
    </row>
    <row r="29" spans="1:29" s="1" customFormat="1" ht="17.25" customHeight="1" outlineLevel="1">
      <c r="A29" s="657" t="str">
        <f>'übrige Kosten'!A23</f>
        <v>Werkzeug und Kleingeräte GWG</v>
      </c>
      <c r="B29" s="659">
        <f>'übrige Kosten'!C23</f>
        <v>0</v>
      </c>
      <c r="C29" s="828">
        <f>'Liquiditätsplan-1.Jahr'!D39</f>
        <v>0</v>
      </c>
      <c r="D29" s="828">
        <f>'Liquiditätsplan-1.Jahr'!E39</f>
        <v>0</v>
      </c>
      <c r="E29" s="828">
        <f>'Liquiditätsplan-1.Jahr'!F39</f>
        <v>0</v>
      </c>
      <c r="F29" s="828">
        <f>'Liquiditätsplan-1.Jahr'!G39</f>
        <v>0</v>
      </c>
      <c r="G29" s="828">
        <f>'Liquiditätsplan-1.Jahr'!H39</f>
        <v>0</v>
      </c>
      <c r="H29" s="828">
        <f>'Liquiditätsplan-1.Jahr'!I39</f>
        <v>0</v>
      </c>
      <c r="I29" s="828">
        <f>'Liquiditätsplan-1.Jahr'!J39</f>
        <v>0</v>
      </c>
      <c r="J29" s="828">
        <f>'Liquiditätsplan-1.Jahr'!K39</f>
        <v>0</v>
      </c>
      <c r="K29" s="828">
        <f>'Liquiditätsplan-1.Jahr'!L39</f>
        <v>0</v>
      </c>
      <c r="L29" s="828">
        <f>'Liquiditätsplan-1.Jahr'!M39</f>
        <v>0</v>
      </c>
      <c r="M29" s="828">
        <f>'Liquiditätsplan-1.Jahr'!N39</f>
        <v>0</v>
      </c>
      <c r="N29" s="828">
        <f>'Liquiditätsplan-1.Jahr'!O39</f>
        <v>0</v>
      </c>
      <c r="O29" s="675">
        <f t="shared" si="1"/>
        <v>0</v>
      </c>
      <c r="P29" s="656" t="str">
        <f t="shared" si="2"/>
        <v/>
      </c>
      <c r="Q29" s="630"/>
      <c r="R29" s="630"/>
      <c r="S29" s="630"/>
      <c r="T29" s="630"/>
      <c r="U29" s="630"/>
      <c r="V29" s="630"/>
      <c r="W29" s="630"/>
      <c r="X29" s="630"/>
      <c r="Y29" s="630"/>
      <c r="Z29" s="630"/>
      <c r="AA29" s="630"/>
      <c r="AB29" s="630"/>
      <c r="AC29" s="630"/>
    </row>
    <row r="30" spans="1:29" s="1" customFormat="1" ht="17.25" customHeight="1" outlineLevel="1">
      <c r="A30" s="657" t="str">
        <f>'übrige Kosten'!A24</f>
        <v>Betriebsbedarf</v>
      </c>
      <c r="B30" s="659">
        <f>'übrige Kosten'!C24</f>
        <v>0</v>
      </c>
      <c r="C30" s="828">
        <f>'Liquiditätsplan-1.Jahr'!D40</f>
        <v>0</v>
      </c>
      <c r="D30" s="828">
        <f>'Liquiditätsplan-1.Jahr'!E40</f>
        <v>0</v>
      </c>
      <c r="E30" s="828">
        <f>'Liquiditätsplan-1.Jahr'!F40</f>
        <v>0</v>
      </c>
      <c r="F30" s="828">
        <f>'Liquiditätsplan-1.Jahr'!G40</f>
        <v>0</v>
      </c>
      <c r="G30" s="828">
        <f>'Liquiditätsplan-1.Jahr'!H40</f>
        <v>0</v>
      </c>
      <c r="H30" s="828">
        <f>'Liquiditätsplan-1.Jahr'!I40</f>
        <v>0</v>
      </c>
      <c r="I30" s="828">
        <f>'Liquiditätsplan-1.Jahr'!J40</f>
        <v>0</v>
      </c>
      <c r="J30" s="828">
        <f>'Liquiditätsplan-1.Jahr'!K40</f>
        <v>0</v>
      </c>
      <c r="K30" s="828">
        <f>'Liquiditätsplan-1.Jahr'!L40</f>
        <v>0</v>
      </c>
      <c r="L30" s="828">
        <f>'Liquiditätsplan-1.Jahr'!M40</f>
        <v>0</v>
      </c>
      <c r="M30" s="828">
        <f>'Liquiditätsplan-1.Jahr'!N40</f>
        <v>0</v>
      </c>
      <c r="N30" s="828">
        <f>'Liquiditätsplan-1.Jahr'!O40</f>
        <v>0</v>
      </c>
      <c r="O30" s="675">
        <f t="shared" si="1"/>
        <v>0</v>
      </c>
      <c r="P30" s="656" t="str">
        <f t="shared" si="2"/>
        <v/>
      </c>
      <c r="Q30" s="630"/>
      <c r="R30" s="630"/>
      <c r="S30" s="630"/>
      <c r="T30" s="630"/>
      <c r="U30" s="630"/>
      <c r="V30" s="630"/>
      <c r="W30" s="630"/>
      <c r="X30" s="630"/>
      <c r="Y30" s="630"/>
      <c r="Z30" s="630"/>
      <c r="AA30" s="630"/>
      <c r="AB30" s="630"/>
      <c r="AC30" s="630"/>
    </row>
    <row r="31" spans="1:29" s="1" customFormat="1" ht="17.25" customHeight="1">
      <c r="A31" s="657" t="str">
        <f>'übrige Kosten'!A25</f>
        <v>langfristige Zinsen</v>
      </c>
      <c r="B31" s="659">
        <f>'übrige Kosten'!C25</f>
        <v>0</v>
      </c>
      <c r="C31" s="828">
        <f>'Liquiditätsplan-1.Jahr'!D41</f>
        <v>0</v>
      </c>
      <c r="D31" s="828">
        <f>'Liquiditätsplan-1.Jahr'!E41</f>
        <v>0</v>
      </c>
      <c r="E31" s="828">
        <f>'Liquiditätsplan-1.Jahr'!F41</f>
        <v>0</v>
      </c>
      <c r="F31" s="828">
        <f>'Liquiditätsplan-1.Jahr'!G41</f>
        <v>0</v>
      </c>
      <c r="G31" s="828">
        <f>'Liquiditätsplan-1.Jahr'!H41</f>
        <v>0</v>
      </c>
      <c r="H31" s="828">
        <f>'Liquiditätsplan-1.Jahr'!I41</f>
        <v>0</v>
      </c>
      <c r="I31" s="828">
        <f>'Liquiditätsplan-1.Jahr'!J41</f>
        <v>0</v>
      </c>
      <c r="J31" s="828">
        <f>'Liquiditätsplan-1.Jahr'!K41</f>
        <v>0</v>
      </c>
      <c r="K31" s="828">
        <f>'Liquiditätsplan-1.Jahr'!L41</f>
        <v>0</v>
      </c>
      <c r="L31" s="828">
        <f>'Liquiditätsplan-1.Jahr'!M41</f>
        <v>0</v>
      </c>
      <c r="M31" s="828">
        <f>'Liquiditätsplan-1.Jahr'!N41</f>
        <v>0</v>
      </c>
      <c r="N31" s="828">
        <f>'Liquiditätsplan-1.Jahr'!O41</f>
        <v>0</v>
      </c>
      <c r="O31" s="675">
        <f t="shared" si="1"/>
        <v>0</v>
      </c>
      <c r="P31" s="656" t="str">
        <f t="shared" si="2"/>
        <v/>
      </c>
      <c r="Q31" s="630"/>
      <c r="R31" s="630"/>
      <c r="S31" s="630"/>
      <c r="T31" s="630"/>
      <c r="U31" s="630"/>
      <c r="V31" s="630"/>
      <c r="W31" s="630"/>
      <c r="X31" s="630"/>
      <c r="Y31" s="630"/>
      <c r="Z31" s="630"/>
      <c r="AA31" s="630"/>
      <c r="AB31" s="630"/>
      <c r="AC31" s="630"/>
    </row>
    <row r="32" spans="1:29" s="1" customFormat="1" ht="17.25" customHeight="1">
      <c r="A32" s="657" t="str">
        <f>'übrige Kosten'!A26</f>
        <v>kurzfristige Zinsen, Bankgebühren</v>
      </c>
      <c r="B32" s="659">
        <f>'übrige Kosten'!C26</f>
        <v>0</v>
      </c>
      <c r="C32" s="828">
        <f>'Liquiditätsplan-1.Jahr'!D42</f>
        <v>0</v>
      </c>
      <c r="D32" s="828">
        <f>'Liquiditätsplan-1.Jahr'!E42</f>
        <v>0</v>
      </c>
      <c r="E32" s="828">
        <f>'Liquiditätsplan-1.Jahr'!F42</f>
        <v>0</v>
      </c>
      <c r="F32" s="828">
        <f>'Liquiditätsplan-1.Jahr'!G42</f>
        <v>0</v>
      </c>
      <c r="G32" s="828">
        <f>'Liquiditätsplan-1.Jahr'!H42</f>
        <v>0</v>
      </c>
      <c r="H32" s="828">
        <f>'Liquiditätsplan-1.Jahr'!I42</f>
        <v>0</v>
      </c>
      <c r="I32" s="828">
        <f>'Liquiditätsplan-1.Jahr'!J42</f>
        <v>0</v>
      </c>
      <c r="J32" s="828">
        <f>'Liquiditätsplan-1.Jahr'!K42</f>
        <v>0</v>
      </c>
      <c r="K32" s="828">
        <f>'Liquiditätsplan-1.Jahr'!L42</f>
        <v>0</v>
      </c>
      <c r="L32" s="828">
        <f>'Liquiditätsplan-1.Jahr'!M42</f>
        <v>0</v>
      </c>
      <c r="M32" s="828">
        <f>'Liquiditätsplan-1.Jahr'!N42</f>
        <v>0</v>
      </c>
      <c r="N32" s="828">
        <f>'Liquiditätsplan-1.Jahr'!O42</f>
        <v>0</v>
      </c>
      <c r="O32" s="675">
        <f>SUM(C32:N32)</f>
        <v>0</v>
      </c>
      <c r="P32" s="656" t="str">
        <f t="shared" si="2"/>
        <v/>
      </c>
      <c r="Q32" s="630"/>
      <c r="R32" s="630"/>
      <c r="S32" s="630"/>
      <c r="T32" s="630"/>
      <c r="U32" s="630"/>
      <c r="V32" s="630"/>
      <c r="W32" s="630"/>
      <c r="X32" s="630"/>
      <c r="Y32" s="630"/>
      <c r="Z32" s="630"/>
      <c r="AA32" s="630"/>
      <c r="AB32" s="630"/>
      <c r="AC32" s="630"/>
    </row>
    <row r="33" spans="1:30" s="1" customFormat="1" ht="17.25" customHeight="1" thickBot="1">
      <c r="A33" s="657" t="str">
        <f>'übrige Kosten'!A27</f>
        <v>Sonstiges</v>
      </c>
      <c r="B33" s="659">
        <f>'übrige Kosten'!C27+'übrige Kosten'!C28+'übrige Kosten'!C29</f>
        <v>0</v>
      </c>
      <c r="C33" s="828">
        <f>'Liquiditätsplan-1.Jahr'!D43</f>
        <v>0</v>
      </c>
      <c r="D33" s="828">
        <f>'Liquiditätsplan-1.Jahr'!E43</f>
        <v>0</v>
      </c>
      <c r="E33" s="828">
        <f>'Liquiditätsplan-1.Jahr'!F43</f>
        <v>0</v>
      </c>
      <c r="F33" s="828">
        <f>'Liquiditätsplan-1.Jahr'!G43</f>
        <v>0</v>
      </c>
      <c r="G33" s="828">
        <f>'Liquiditätsplan-1.Jahr'!H43</f>
        <v>0</v>
      </c>
      <c r="H33" s="828">
        <f>'Liquiditätsplan-1.Jahr'!I43</f>
        <v>0</v>
      </c>
      <c r="I33" s="828">
        <f>'Liquiditätsplan-1.Jahr'!J43</f>
        <v>0</v>
      </c>
      <c r="J33" s="828">
        <f>'Liquiditätsplan-1.Jahr'!K43</f>
        <v>0</v>
      </c>
      <c r="K33" s="828">
        <f>'Liquiditätsplan-1.Jahr'!L43</f>
        <v>0</v>
      </c>
      <c r="L33" s="828">
        <f>'Liquiditätsplan-1.Jahr'!M43</f>
        <v>0</v>
      </c>
      <c r="M33" s="828">
        <f>'Liquiditätsplan-1.Jahr'!N43</f>
        <v>0</v>
      </c>
      <c r="N33" s="828">
        <f>'Liquiditätsplan-1.Jahr'!O43</f>
        <v>0</v>
      </c>
      <c r="O33" s="675">
        <f t="shared" si="1"/>
        <v>0</v>
      </c>
      <c r="P33" s="656" t="str">
        <f t="shared" si="2"/>
        <v/>
      </c>
      <c r="Q33" s="630"/>
      <c r="R33" s="630"/>
      <c r="S33" s="630"/>
      <c r="T33" s="630"/>
      <c r="U33" s="630"/>
      <c r="V33" s="630"/>
      <c r="W33" s="630"/>
      <c r="X33" s="630"/>
      <c r="Y33" s="630"/>
      <c r="Z33" s="630"/>
      <c r="AA33" s="630"/>
      <c r="AB33" s="630"/>
      <c r="AC33" s="630"/>
    </row>
    <row r="34" spans="1:30" s="1" customFormat="1" ht="17.25" hidden="1" customHeight="1">
      <c r="A34" s="657" t="str">
        <f>'übrige Kosten'!A29</f>
        <v>Sonstiges 3:</v>
      </c>
      <c r="B34" s="659"/>
      <c r="C34" s="828"/>
      <c r="D34" s="828"/>
      <c r="E34" s="828"/>
      <c r="F34" s="828"/>
      <c r="G34" s="828"/>
      <c r="H34" s="828"/>
      <c r="I34" s="828"/>
      <c r="J34" s="828"/>
      <c r="K34" s="828"/>
      <c r="L34" s="828"/>
      <c r="M34" s="828"/>
      <c r="N34" s="828"/>
      <c r="O34" s="675">
        <f t="shared" si="1"/>
        <v>0</v>
      </c>
      <c r="P34" s="656" t="str">
        <f>IF(AND(ABS(O34-B34)&gt;10,O34&lt;&gt;0),"Überprüfe Eintragung","")</f>
        <v/>
      </c>
      <c r="Q34" s="630"/>
      <c r="R34" s="630"/>
      <c r="S34" s="630"/>
      <c r="T34" s="630"/>
      <c r="U34" s="630"/>
      <c r="V34" s="630"/>
      <c r="W34" s="630"/>
      <c r="X34" s="630"/>
      <c r="Y34" s="630"/>
      <c r="Z34" s="630"/>
      <c r="AA34" s="630"/>
      <c r="AB34" s="630"/>
      <c r="AC34" s="630"/>
    </row>
    <row r="35" spans="1:30" s="1" customFormat="1" ht="17.25" hidden="1" customHeight="1">
      <c r="A35" s="657" t="str">
        <f>'übrige Kosten'!A30</f>
        <v>übrige Kosten gesamt</v>
      </c>
      <c r="B35" s="659"/>
      <c r="C35" s="828"/>
      <c r="D35" s="828"/>
      <c r="E35" s="828"/>
      <c r="F35" s="828"/>
      <c r="G35" s="828"/>
      <c r="H35" s="828"/>
      <c r="I35" s="828"/>
      <c r="J35" s="828"/>
      <c r="K35" s="828"/>
      <c r="L35" s="828"/>
      <c r="M35" s="828"/>
      <c r="N35" s="828"/>
      <c r="O35" s="675">
        <f t="shared" si="1"/>
        <v>0</v>
      </c>
      <c r="P35" s="656" t="str">
        <f>IF(AND(ABS(O35-B35)&gt;10,O35&lt;&gt;0),"Überprüfe Eintragung","")</f>
        <v/>
      </c>
      <c r="Q35" s="630"/>
      <c r="R35" s="630"/>
      <c r="S35" s="630"/>
      <c r="T35" s="630"/>
      <c r="U35" s="630"/>
      <c r="V35" s="630"/>
      <c r="W35" s="630"/>
      <c r="X35" s="630"/>
      <c r="Y35" s="630"/>
      <c r="Z35" s="630"/>
      <c r="AA35" s="630"/>
      <c r="AB35" s="630"/>
      <c r="AC35" s="630"/>
    </row>
    <row r="36" spans="1:30" s="1" customFormat="1" ht="23.25" hidden="1" customHeight="1" thickBot="1">
      <c r="A36" s="657">
        <f>'übrige Kosten'!A31</f>
        <v>0</v>
      </c>
      <c r="B36" s="659"/>
      <c r="C36" s="828"/>
      <c r="D36" s="828"/>
      <c r="E36" s="828"/>
      <c r="F36" s="828"/>
      <c r="G36" s="828"/>
      <c r="H36" s="828"/>
      <c r="I36" s="828"/>
      <c r="J36" s="828"/>
      <c r="K36" s="828"/>
      <c r="L36" s="828"/>
      <c r="M36" s="828"/>
      <c r="N36" s="828"/>
      <c r="O36" s="675">
        <f t="shared" si="1"/>
        <v>0</v>
      </c>
      <c r="P36" s="656" t="str">
        <f>IF(AND(ABS(O36-B36)&gt;10,O36&lt;&gt;0),"Überprüfe Eintragung","")</f>
        <v/>
      </c>
      <c r="Q36" s="630"/>
      <c r="R36" s="630"/>
      <c r="S36" s="630"/>
      <c r="T36" s="630"/>
      <c r="U36" s="630"/>
      <c r="V36" s="630"/>
      <c r="W36" s="630"/>
      <c r="X36" s="630"/>
      <c r="Y36" s="630"/>
      <c r="Z36" s="630"/>
      <c r="AA36" s="630"/>
      <c r="AB36" s="630"/>
      <c r="AC36" s="630"/>
    </row>
    <row r="37" spans="1:30" s="1" customFormat="1" ht="16.8" thickTop="1" thickBot="1">
      <c r="A37" s="692" t="s">
        <v>604</v>
      </c>
      <c r="B37" s="694">
        <f t="shared" ref="B37:N37" si="4">SUM(B13:B36)</f>
        <v>0</v>
      </c>
      <c r="C37" s="680">
        <f t="shared" si="4"/>
        <v>0</v>
      </c>
      <c r="D37" s="680">
        <f t="shared" si="4"/>
        <v>0</v>
      </c>
      <c r="E37" s="680">
        <f t="shared" si="4"/>
        <v>0</v>
      </c>
      <c r="F37" s="680">
        <f t="shared" si="4"/>
        <v>0</v>
      </c>
      <c r="G37" s="680">
        <f t="shared" si="4"/>
        <v>0</v>
      </c>
      <c r="H37" s="680">
        <f t="shared" si="4"/>
        <v>0</v>
      </c>
      <c r="I37" s="680">
        <f t="shared" si="4"/>
        <v>0</v>
      </c>
      <c r="J37" s="680">
        <f t="shared" si="4"/>
        <v>0</v>
      </c>
      <c r="K37" s="680">
        <f t="shared" si="4"/>
        <v>0</v>
      </c>
      <c r="L37" s="680">
        <f t="shared" si="4"/>
        <v>0</v>
      </c>
      <c r="M37" s="680">
        <f t="shared" si="4"/>
        <v>0</v>
      </c>
      <c r="N37" s="680">
        <f t="shared" si="4"/>
        <v>0</v>
      </c>
      <c r="O37" s="681">
        <f t="shared" si="1"/>
        <v>0</v>
      </c>
      <c r="P37" s="656"/>
      <c r="Q37" s="630"/>
      <c r="R37" s="630"/>
      <c r="S37" s="630"/>
      <c r="T37" s="630"/>
      <c r="U37" s="630"/>
      <c r="V37" s="630"/>
      <c r="W37" s="630"/>
      <c r="X37" s="630"/>
      <c r="Y37" s="630"/>
      <c r="Z37" s="630"/>
      <c r="AA37" s="630"/>
      <c r="AB37" s="630"/>
      <c r="AC37" s="630"/>
    </row>
    <row r="38" spans="1:30" s="1" customFormat="1" ht="20.25" customHeight="1" thickTop="1">
      <c r="A38" s="700"/>
      <c r="B38" s="702"/>
      <c r="C38" s="684"/>
      <c r="D38" s="684"/>
      <c r="E38" s="684"/>
      <c r="F38" s="684"/>
      <c r="G38" s="684"/>
      <c r="H38" s="684"/>
      <c r="I38" s="684"/>
      <c r="J38" s="684"/>
      <c r="K38" s="684"/>
      <c r="L38" s="684"/>
      <c r="M38" s="684"/>
      <c r="N38" s="684"/>
      <c r="O38" s="684"/>
      <c r="P38" s="656"/>
      <c r="Q38" s="630"/>
      <c r="R38" s="630"/>
      <c r="S38" s="630"/>
      <c r="T38" s="630"/>
      <c r="U38" s="630"/>
      <c r="V38" s="630"/>
      <c r="W38" s="630"/>
      <c r="X38" s="630"/>
      <c r="Y38" s="630"/>
      <c r="Z38" s="630"/>
      <c r="AA38" s="630"/>
      <c r="AB38" s="630"/>
      <c r="AC38" s="630"/>
    </row>
    <row r="39" spans="1:30" s="1" customFormat="1" ht="15.6">
      <c r="A39" s="653" t="s">
        <v>601</v>
      </c>
      <c r="B39" s="654">
        <f>-Finanzierung!C29</f>
        <v>0</v>
      </c>
      <c r="C39" s="703">
        <f>C10-C37</f>
        <v>0</v>
      </c>
      <c r="D39" s="703">
        <f t="shared" ref="D39:N39" si="5">D10-D37</f>
        <v>0</v>
      </c>
      <c r="E39" s="703">
        <f t="shared" si="5"/>
        <v>0</v>
      </c>
      <c r="F39" s="703">
        <f t="shared" si="5"/>
        <v>0</v>
      </c>
      <c r="G39" s="703">
        <f t="shared" si="5"/>
        <v>0</v>
      </c>
      <c r="H39" s="703">
        <f t="shared" si="5"/>
        <v>0</v>
      </c>
      <c r="I39" s="703">
        <f t="shared" si="5"/>
        <v>0</v>
      </c>
      <c r="J39" s="703">
        <f t="shared" si="5"/>
        <v>0</v>
      </c>
      <c r="K39" s="703">
        <f t="shared" si="5"/>
        <v>0</v>
      </c>
      <c r="L39" s="703">
        <f t="shared" si="5"/>
        <v>0</v>
      </c>
      <c r="M39" s="703">
        <f t="shared" si="5"/>
        <v>0</v>
      </c>
      <c r="N39" s="703">
        <f t="shared" si="5"/>
        <v>0</v>
      </c>
      <c r="O39" s="704">
        <f>SUM(B39:N39)</f>
        <v>0</v>
      </c>
      <c r="P39" s="656"/>
      <c r="Q39" s="630"/>
      <c r="R39" s="630"/>
      <c r="S39" s="630"/>
      <c r="T39" s="630"/>
      <c r="U39" s="630"/>
      <c r="V39" s="630"/>
      <c r="W39" s="630"/>
      <c r="X39" s="630"/>
      <c r="Y39" s="630"/>
      <c r="Z39" s="630"/>
      <c r="AA39" s="630"/>
      <c r="AB39" s="630"/>
      <c r="AC39" s="630"/>
    </row>
    <row r="40" spans="1:30" s="1" customFormat="1" ht="15.6">
      <c r="A40" s="653" t="s">
        <v>602</v>
      </c>
      <c r="B40" s="654"/>
      <c r="C40" s="703">
        <f>B39</f>
        <v>0</v>
      </c>
      <c r="D40" s="703">
        <f t="shared" ref="D40:N40" si="6">C40+D39</f>
        <v>0</v>
      </c>
      <c r="E40" s="703">
        <f t="shared" si="6"/>
        <v>0</v>
      </c>
      <c r="F40" s="703">
        <f t="shared" si="6"/>
        <v>0</v>
      </c>
      <c r="G40" s="703">
        <f t="shared" si="6"/>
        <v>0</v>
      </c>
      <c r="H40" s="703">
        <f t="shared" si="6"/>
        <v>0</v>
      </c>
      <c r="I40" s="703">
        <f t="shared" si="6"/>
        <v>0</v>
      </c>
      <c r="J40" s="703">
        <f t="shared" si="6"/>
        <v>0</v>
      </c>
      <c r="K40" s="703">
        <f t="shared" si="6"/>
        <v>0</v>
      </c>
      <c r="L40" s="703">
        <f t="shared" si="6"/>
        <v>0</v>
      </c>
      <c r="M40" s="703">
        <f t="shared" si="6"/>
        <v>0</v>
      </c>
      <c r="N40" s="1042">
        <f t="shared" si="6"/>
        <v>0</v>
      </c>
      <c r="O40" s="655"/>
      <c r="P40" s="656"/>
      <c r="Q40" s="630"/>
      <c r="R40" s="630"/>
      <c r="S40" s="630"/>
      <c r="T40" s="630"/>
      <c r="U40" s="630"/>
      <c r="V40" s="630"/>
      <c r="W40" s="630"/>
      <c r="X40" s="630"/>
      <c r="Y40" s="630"/>
      <c r="Z40" s="630"/>
      <c r="AA40" s="630"/>
      <c r="AB40" s="630"/>
      <c r="AC40" s="630"/>
    </row>
    <row r="41" spans="1:30">
      <c r="A41" s="718"/>
      <c r="B41" s="719"/>
      <c r="C41" s="718"/>
      <c r="D41" s="718"/>
      <c r="E41" s="718"/>
      <c r="F41" s="718"/>
      <c r="G41" s="718"/>
      <c r="H41" s="718"/>
      <c r="I41" s="718"/>
      <c r="J41" s="718"/>
      <c r="K41" s="718"/>
      <c r="L41" s="718"/>
      <c r="M41" s="718"/>
      <c r="N41" s="718"/>
      <c r="O41" s="718"/>
      <c r="P41" s="718"/>
      <c r="Q41" s="718"/>
      <c r="R41" s="718"/>
      <c r="S41" s="718"/>
      <c r="T41" s="718"/>
      <c r="U41" s="718"/>
      <c r="V41" s="718"/>
      <c r="W41" s="718"/>
      <c r="X41" s="718"/>
      <c r="Y41" s="718"/>
      <c r="Z41" s="718"/>
      <c r="AA41" s="718"/>
      <c r="AB41" s="718"/>
      <c r="AC41" s="718"/>
      <c r="AD41" s="718"/>
    </row>
    <row r="42" spans="1:30">
      <c r="A42" s="718"/>
      <c r="B42" s="719"/>
      <c r="C42" s="718"/>
      <c r="D42" s="718"/>
      <c r="E42" s="718"/>
      <c r="F42" s="718"/>
      <c r="G42" s="718"/>
      <c r="H42" s="718"/>
      <c r="I42" s="718"/>
      <c r="J42" s="718"/>
      <c r="K42" s="718"/>
      <c r="L42" s="718"/>
      <c r="M42" s="718"/>
      <c r="N42" s="718"/>
      <c r="O42" s="718"/>
      <c r="P42" s="718"/>
      <c r="Q42" s="718"/>
      <c r="R42" s="718"/>
      <c r="S42" s="718"/>
      <c r="T42" s="718"/>
      <c r="U42" s="718"/>
      <c r="V42" s="718"/>
      <c r="W42" s="718"/>
      <c r="X42" s="718"/>
      <c r="Y42" s="718"/>
      <c r="Z42" s="718"/>
      <c r="AA42" s="718"/>
      <c r="AB42" s="718"/>
      <c r="AC42" s="718"/>
      <c r="AD42" s="718"/>
    </row>
    <row r="43" spans="1:30">
      <c r="A43" s="718"/>
      <c r="B43" s="719"/>
      <c r="C43" s="718"/>
      <c r="D43" s="718"/>
      <c r="E43" s="718"/>
      <c r="F43" s="718"/>
      <c r="G43" s="718"/>
      <c r="H43" s="718"/>
      <c r="I43" s="718"/>
      <c r="J43" s="718"/>
      <c r="K43" s="718"/>
      <c r="L43" s="718"/>
      <c r="M43" s="718"/>
      <c r="N43" s="718"/>
      <c r="O43" s="718"/>
      <c r="P43" s="718"/>
      <c r="Q43" s="718"/>
      <c r="R43" s="718"/>
      <c r="S43" s="718"/>
      <c r="T43" s="718"/>
      <c r="U43" s="718"/>
      <c r="V43" s="718"/>
      <c r="W43" s="718"/>
      <c r="X43" s="718"/>
      <c r="Y43" s="718"/>
      <c r="Z43" s="718"/>
      <c r="AA43" s="718"/>
      <c r="AB43" s="718"/>
      <c r="AC43" s="718"/>
      <c r="AD43" s="718"/>
    </row>
    <row r="44" spans="1:30">
      <c r="A44" s="718"/>
      <c r="B44" s="719"/>
      <c r="C44" s="718"/>
      <c r="D44" s="718"/>
      <c r="E44" s="718"/>
      <c r="F44" s="718"/>
      <c r="G44" s="718"/>
      <c r="H44" s="718"/>
      <c r="I44" s="718"/>
      <c r="J44" s="718"/>
      <c r="K44" s="718"/>
      <c r="L44" s="718"/>
      <c r="M44" s="718"/>
      <c r="N44" s="718"/>
      <c r="O44" s="718"/>
      <c r="P44" s="718"/>
      <c r="Q44" s="718"/>
      <c r="R44" s="718"/>
      <c r="S44" s="718"/>
      <c r="T44" s="718"/>
      <c r="U44" s="718"/>
      <c r="V44" s="718"/>
      <c r="W44" s="718"/>
      <c r="X44" s="718"/>
      <c r="Y44" s="718"/>
      <c r="Z44" s="718"/>
      <c r="AA44" s="718"/>
      <c r="AB44" s="718"/>
      <c r="AC44" s="718"/>
      <c r="AD44" s="718"/>
    </row>
    <row r="45" spans="1:30">
      <c r="A45" s="718"/>
      <c r="B45" s="719"/>
      <c r="C45" s="718"/>
      <c r="D45" s="718"/>
      <c r="E45" s="718"/>
      <c r="F45" s="718"/>
      <c r="G45" s="718"/>
      <c r="H45" s="718"/>
      <c r="I45" s="718"/>
      <c r="J45" s="718"/>
      <c r="K45" s="718"/>
      <c r="L45" s="718"/>
      <c r="M45" s="718"/>
      <c r="N45" s="718"/>
      <c r="O45" s="718"/>
      <c r="P45" s="718"/>
      <c r="Q45" s="718"/>
      <c r="R45" s="718"/>
      <c r="S45" s="718"/>
      <c r="T45" s="718"/>
      <c r="U45" s="718"/>
      <c r="V45" s="718"/>
      <c r="W45" s="718"/>
      <c r="X45" s="718"/>
      <c r="Y45" s="718"/>
      <c r="Z45" s="718"/>
      <c r="AA45" s="718"/>
      <c r="AB45" s="718"/>
      <c r="AC45" s="718"/>
      <c r="AD45" s="718"/>
    </row>
    <row r="46" spans="1:30">
      <c r="A46" s="718"/>
      <c r="B46" s="719"/>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row>
    <row r="47" spans="1:30">
      <c r="A47" s="718"/>
      <c r="B47" s="719"/>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row>
    <row r="48" spans="1:30">
      <c r="A48" s="718"/>
      <c r="B48" s="719"/>
      <c r="C48" s="718"/>
      <c r="D48" s="718"/>
      <c r="E48" s="718"/>
      <c r="F48" s="718"/>
      <c r="G48" s="718"/>
      <c r="H48" s="718"/>
      <c r="I48" s="718"/>
      <c r="J48" s="718"/>
      <c r="K48" s="718"/>
      <c r="L48" s="718"/>
      <c r="M48" s="718"/>
      <c r="N48" s="718"/>
      <c r="O48" s="718"/>
      <c r="P48" s="718"/>
      <c r="Q48" s="718"/>
      <c r="R48" s="718"/>
      <c r="S48" s="718"/>
      <c r="T48" s="718"/>
      <c r="U48" s="718"/>
      <c r="V48" s="718"/>
      <c r="W48" s="718"/>
      <c r="X48" s="718"/>
      <c r="Y48" s="718"/>
      <c r="Z48" s="718"/>
      <c r="AA48" s="718"/>
      <c r="AB48" s="718"/>
      <c r="AC48" s="718"/>
      <c r="AD48" s="718"/>
    </row>
    <row r="49" spans="1:30">
      <c r="A49" s="718"/>
      <c r="B49" s="719"/>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row>
    <row r="50" spans="1:30">
      <c r="A50" s="718"/>
      <c r="B50" s="719"/>
      <c r="C50" s="718"/>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18"/>
      <c r="AB50" s="718"/>
      <c r="AC50" s="718"/>
      <c r="AD50" s="718"/>
    </row>
    <row r="51" spans="1:30">
      <c r="A51" s="718"/>
      <c r="B51" s="719"/>
      <c r="C51" s="718"/>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18"/>
      <c r="AD51" s="718"/>
    </row>
    <row r="52" spans="1:30">
      <c r="A52" s="718"/>
      <c r="B52" s="719"/>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row>
    <row r="53" spans="1:30">
      <c r="A53" s="718"/>
      <c r="B53" s="719"/>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row>
    <row r="54" spans="1:30">
      <c r="A54" s="718"/>
      <c r="B54" s="719"/>
      <c r="C54" s="718"/>
      <c r="D54" s="718"/>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718"/>
      <c r="AC54" s="718"/>
      <c r="AD54" s="718"/>
    </row>
    <row r="55" spans="1:30">
      <c r="A55" s="718"/>
      <c r="B55" s="719"/>
      <c r="C55" s="718"/>
      <c r="D55" s="718"/>
      <c r="E55" s="718"/>
      <c r="F55" s="718"/>
      <c r="G55" s="718"/>
      <c r="H55" s="718"/>
      <c r="I55" s="718"/>
      <c r="J55" s="718"/>
      <c r="K55" s="718"/>
      <c r="L55" s="718"/>
      <c r="M55" s="718"/>
      <c r="N55" s="718"/>
      <c r="O55" s="718"/>
      <c r="P55" s="718"/>
      <c r="Q55" s="718"/>
      <c r="R55" s="718"/>
      <c r="S55" s="718"/>
      <c r="T55" s="718"/>
      <c r="U55" s="718"/>
      <c r="V55" s="718"/>
      <c r="W55" s="718"/>
      <c r="X55" s="718"/>
      <c r="Y55" s="718"/>
      <c r="Z55" s="718"/>
      <c r="AA55" s="718"/>
      <c r="AB55" s="718"/>
      <c r="AC55" s="718"/>
      <c r="AD55" s="718"/>
    </row>
    <row r="56" spans="1:30">
      <c r="A56" s="718"/>
      <c r="B56" s="719"/>
      <c r="C56" s="718"/>
      <c r="D56" s="718"/>
      <c r="E56" s="718"/>
      <c r="F56" s="718"/>
      <c r="G56" s="718"/>
      <c r="H56" s="718"/>
      <c r="I56" s="718"/>
      <c r="J56" s="718"/>
      <c r="K56" s="718"/>
      <c r="L56" s="718"/>
      <c r="M56" s="718"/>
      <c r="N56" s="718"/>
      <c r="O56" s="718"/>
      <c r="P56" s="718"/>
      <c r="Q56" s="718"/>
      <c r="R56" s="718"/>
      <c r="S56" s="718"/>
      <c r="T56" s="718"/>
      <c r="U56" s="718"/>
      <c r="V56" s="718"/>
      <c r="W56" s="718"/>
      <c r="X56" s="718"/>
      <c r="Y56" s="718"/>
      <c r="Z56" s="718"/>
      <c r="AA56" s="718"/>
      <c r="AB56" s="718"/>
      <c r="AC56" s="718"/>
      <c r="AD56" s="718"/>
    </row>
    <row r="57" spans="1:30">
      <c r="A57" s="718"/>
      <c r="B57" s="719"/>
      <c r="C57" s="718"/>
      <c r="D57" s="718"/>
      <c r="E57" s="718"/>
      <c r="F57" s="718"/>
      <c r="G57" s="718"/>
      <c r="H57" s="718"/>
      <c r="I57" s="718"/>
      <c r="J57" s="718"/>
      <c r="K57" s="718"/>
      <c r="L57" s="718"/>
      <c r="M57" s="718"/>
      <c r="N57" s="718"/>
      <c r="O57" s="718"/>
      <c r="P57" s="718"/>
      <c r="Q57" s="718"/>
      <c r="R57" s="718"/>
      <c r="S57" s="718"/>
      <c r="T57" s="718"/>
      <c r="U57" s="718"/>
      <c r="V57" s="718"/>
      <c r="W57" s="718"/>
      <c r="X57" s="718"/>
      <c r="Y57" s="718"/>
      <c r="Z57" s="718"/>
      <c r="AA57" s="718"/>
      <c r="AB57" s="718"/>
      <c r="AC57" s="718"/>
      <c r="AD57" s="718"/>
    </row>
    <row r="58" spans="1:30">
      <c r="A58" s="718"/>
      <c r="B58" s="719"/>
      <c r="C58" s="718"/>
      <c r="D58" s="718"/>
      <c r="E58" s="718"/>
      <c r="F58" s="718"/>
      <c r="G58" s="718"/>
      <c r="H58" s="718"/>
      <c r="I58" s="718"/>
      <c r="J58" s="718"/>
      <c r="K58" s="718"/>
      <c r="L58" s="718"/>
      <c r="M58" s="718"/>
      <c r="N58" s="718"/>
      <c r="O58" s="718"/>
      <c r="P58" s="718"/>
      <c r="Q58" s="718"/>
      <c r="R58" s="718"/>
      <c r="S58" s="718"/>
      <c r="T58" s="718"/>
      <c r="U58" s="718"/>
      <c r="V58" s="718"/>
      <c r="W58" s="718"/>
      <c r="X58" s="718"/>
      <c r="Y58" s="718"/>
      <c r="Z58" s="718"/>
      <c r="AA58" s="718"/>
      <c r="AB58" s="718"/>
      <c r="AC58" s="718"/>
      <c r="AD58" s="718"/>
    </row>
    <row r="59" spans="1:30">
      <c r="A59" s="718"/>
      <c r="B59" s="719"/>
      <c r="C59" s="718"/>
      <c r="D59" s="718"/>
      <c r="E59" s="718"/>
      <c r="F59" s="718"/>
      <c r="G59" s="718"/>
      <c r="H59" s="718"/>
      <c r="I59" s="718"/>
      <c r="J59" s="718"/>
      <c r="K59" s="718"/>
      <c r="L59" s="718"/>
      <c r="M59" s="718"/>
      <c r="N59" s="718"/>
      <c r="O59" s="718"/>
      <c r="P59" s="718"/>
      <c r="Q59" s="718"/>
      <c r="R59" s="718"/>
      <c r="S59" s="718"/>
      <c r="T59" s="718"/>
      <c r="U59" s="718"/>
      <c r="V59" s="718"/>
      <c r="W59" s="718"/>
      <c r="X59" s="718"/>
      <c r="Y59" s="718"/>
      <c r="Z59" s="718"/>
      <c r="AA59" s="718"/>
      <c r="AB59" s="718"/>
      <c r="AC59" s="718"/>
      <c r="AD59" s="718"/>
    </row>
    <row r="60" spans="1:30">
      <c r="A60" s="718"/>
      <c r="B60" s="719"/>
      <c r="C60" s="718"/>
      <c r="D60" s="718"/>
      <c r="E60" s="718"/>
      <c r="F60" s="718"/>
      <c r="G60" s="718"/>
      <c r="H60" s="718"/>
      <c r="I60" s="718"/>
      <c r="J60" s="718"/>
      <c r="K60" s="718"/>
      <c r="L60" s="718"/>
      <c r="M60" s="718"/>
      <c r="N60" s="718"/>
      <c r="O60" s="718"/>
      <c r="P60" s="718"/>
      <c r="Q60" s="718"/>
      <c r="R60" s="718"/>
      <c r="S60" s="718"/>
      <c r="T60" s="718"/>
      <c r="U60" s="718"/>
      <c r="V60" s="718"/>
      <c r="W60" s="718"/>
      <c r="X60" s="718"/>
      <c r="Y60" s="718"/>
      <c r="Z60" s="718"/>
      <c r="AA60" s="718"/>
      <c r="AB60" s="718"/>
      <c r="AC60" s="718"/>
      <c r="AD60" s="718"/>
    </row>
    <row r="61" spans="1:30">
      <c r="A61" s="718"/>
      <c r="B61" s="719"/>
      <c r="C61" s="718"/>
      <c r="D61" s="718"/>
      <c r="E61" s="718"/>
      <c r="F61" s="718"/>
      <c r="G61" s="718"/>
      <c r="H61" s="718"/>
      <c r="I61" s="718"/>
      <c r="J61" s="718"/>
      <c r="K61" s="718"/>
      <c r="L61" s="718"/>
      <c r="M61" s="718"/>
      <c r="N61" s="718"/>
      <c r="O61" s="718"/>
      <c r="P61" s="718"/>
      <c r="Q61" s="718"/>
      <c r="R61" s="718"/>
      <c r="S61" s="718"/>
      <c r="T61" s="718"/>
      <c r="U61" s="718"/>
      <c r="V61" s="718"/>
      <c r="W61" s="718"/>
      <c r="X61" s="718"/>
      <c r="Y61" s="718"/>
      <c r="Z61" s="718"/>
      <c r="AA61" s="718"/>
      <c r="AB61" s="718"/>
      <c r="AC61" s="718"/>
      <c r="AD61" s="718"/>
    </row>
    <row r="62" spans="1:30">
      <c r="A62" s="718"/>
      <c r="B62" s="719"/>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row>
    <row r="63" spans="1:30">
      <c r="A63" s="718"/>
      <c r="B63" s="719"/>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row>
    <row r="64" spans="1:30">
      <c r="A64" s="718"/>
      <c r="B64" s="719"/>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row>
    <row r="65" spans="1:30">
      <c r="A65" s="718"/>
      <c r="B65" s="719"/>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row>
    <row r="66" spans="1:30">
      <c r="A66" s="718"/>
      <c r="B66" s="719"/>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row>
    <row r="67" spans="1:30">
      <c r="A67" s="718"/>
      <c r="B67" s="719"/>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row>
    <row r="68" spans="1:30">
      <c r="A68" s="718"/>
      <c r="B68" s="719"/>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row>
    <row r="69" spans="1:30">
      <c r="A69" s="718"/>
      <c r="B69" s="719"/>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row>
    <row r="70" spans="1:30">
      <c r="A70" s="718"/>
      <c r="B70" s="719"/>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c r="AD70" s="718"/>
    </row>
    <row r="71" spans="1:30">
      <c r="A71" s="718"/>
      <c r="B71" s="719"/>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row>
    <row r="72" spans="1:30">
      <c r="A72" s="718"/>
      <c r="B72" s="719"/>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c r="AD72" s="718"/>
    </row>
    <row r="73" spans="1:30">
      <c r="A73" s="718"/>
      <c r="B73" s="719"/>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row>
    <row r="74" spans="1:30">
      <c r="A74" s="718"/>
      <c r="B74" s="719"/>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c r="AD74" s="718"/>
    </row>
    <row r="75" spans="1:30">
      <c r="A75" s="718"/>
      <c r="B75" s="719"/>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row>
    <row r="76" spans="1:30">
      <c r="A76" s="718"/>
      <c r="B76" s="719"/>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row>
    <row r="77" spans="1:30">
      <c r="A77" s="718"/>
      <c r="B77" s="719"/>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row>
    <row r="78" spans="1:30">
      <c r="A78" s="718"/>
      <c r="B78" s="719"/>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c r="AD78" s="718"/>
    </row>
    <row r="79" spans="1:30">
      <c r="A79" s="718"/>
      <c r="B79" s="719"/>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c r="AD79" s="718"/>
    </row>
    <row r="80" spans="1:30">
      <c r="A80" s="718"/>
      <c r="B80" s="719"/>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row>
    <row r="81" spans="1:30">
      <c r="A81" s="718"/>
      <c r="B81" s="719"/>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c r="AD81" s="718"/>
    </row>
    <row r="82" spans="1:30">
      <c r="A82" s="718"/>
      <c r="B82" s="719"/>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row>
    <row r="83" spans="1:30">
      <c r="A83" s="718"/>
      <c r="B83" s="719"/>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c r="AD83" s="718"/>
    </row>
    <row r="84" spans="1:30">
      <c r="A84" s="718"/>
      <c r="B84" s="719"/>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c r="AD84" s="718"/>
    </row>
    <row r="85" spans="1:30">
      <c r="A85" s="718"/>
      <c r="B85" s="719"/>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row>
    <row r="86" spans="1:30">
      <c r="A86" s="718"/>
      <c r="B86" s="719"/>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row>
    <row r="87" spans="1:30">
      <c r="A87" s="718"/>
      <c r="B87" s="719"/>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row>
    <row r="88" spans="1:30">
      <c r="A88" s="718"/>
      <c r="B88" s="719"/>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row>
    <row r="89" spans="1:30">
      <c r="A89" s="718"/>
      <c r="B89" s="719"/>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row>
    <row r="90" spans="1:30">
      <c r="A90" s="718"/>
      <c r="B90" s="719"/>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row>
    <row r="91" spans="1:30">
      <c r="A91" s="718"/>
      <c r="B91" s="719"/>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row>
    <row r="92" spans="1:30">
      <c r="A92" s="718"/>
      <c r="B92" s="719"/>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row>
    <row r="93" spans="1:30">
      <c r="A93" s="718"/>
      <c r="B93" s="719"/>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row>
    <row r="94" spans="1:30">
      <c r="A94" s="718"/>
      <c r="B94" s="719"/>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row>
    <row r="95" spans="1:30">
      <c r="A95" s="718"/>
      <c r="B95" s="719"/>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row>
    <row r="96" spans="1:30">
      <c r="A96" s="718"/>
      <c r="B96" s="719"/>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row>
    <row r="97" spans="1:30">
      <c r="A97" s="718"/>
      <c r="B97" s="719"/>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row>
    <row r="98" spans="1:30">
      <c r="A98" s="718"/>
      <c r="B98" s="719"/>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row>
    <row r="99" spans="1:30">
      <c r="A99" s="718"/>
      <c r="B99" s="719"/>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row>
    <row r="100" spans="1:30">
      <c r="A100" s="718"/>
      <c r="B100" s="719"/>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row>
    <row r="101" spans="1:30">
      <c r="A101" s="718"/>
      <c r="B101" s="719"/>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row>
    <row r="102" spans="1:30">
      <c r="A102" s="718"/>
      <c r="B102" s="719"/>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row>
    <row r="103" spans="1:30">
      <c r="A103" s="718"/>
      <c r="B103" s="719"/>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row>
    <row r="104" spans="1:30">
      <c r="A104" s="718"/>
      <c r="B104" s="719"/>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row>
    <row r="105" spans="1:30">
      <c r="A105" s="718"/>
      <c r="B105" s="719"/>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c r="AD105" s="718"/>
    </row>
    <row r="106" spans="1:30">
      <c r="A106" s="718"/>
      <c r="B106" s="719"/>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row>
    <row r="107" spans="1:30">
      <c r="A107" s="718"/>
      <c r="B107" s="719"/>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row>
    <row r="108" spans="1:30">
      <c r="A108" s="718"/>
      <c r="B108" s="719"/>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row>
    <row r="109" spans="1:30">
      <c r="A109" s="718"/>
      <c r="B109" s="719"/>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row>
    <row r="110" spans="1:30">
      <c r="A110" s="718"/>
      <c r="B110" s="719"/>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row>
    <row r="111" spans="1:30">
      <c r="A111" s="718"/>
      <c r="B111" s="719"/>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c r="AD111" s="718"/>
    </row>
    <row r="112" spans="1:30">
      <c r="A112" s="718"/>
      <c r="B112" s="719"/>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row>
    <row r="113" spans="1:30">
      <c r="A113" s="718"/>
      <c r="B113" s="719"/>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row>
    <row r="114" spans="1:30">
      <c r="A114" s="718"/>
      <c r="B114" s="719"/>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row>
    <row r="115" spans="1:30">
      <c r="A115" s="718"/>
      <c r="B115" s="719"/>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c r="AD115" s="718"/>
    </row>
    <row r="116" spans="1:30">
      <c r="A116" s="718"/>
      <c r="B116" s="719"/>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row>
    <row r="117" spans="1:30">
      <c r="A117" s="718"/>
      <c r="B117" s="719"/>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row>
    <row r="118" spans="1:30">
      <c r="A118" s="718"/>
      <c r="B118" s="719"/>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c r="AD118" s="718"/>
    </row>
    <row r="119" spans="1:30">
      <c r="A119" s="718"/>
      <c r="B119" s="719"/>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8"/>
    </row>
    <row r="120" spans="1:30">
      <c r="A120" s="718"/>
      <c r="B120" s="719"/>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c r="AD120" s="718"/>
    </row>
    <row r="121" spans="1:30">
      <c r="A121" s="718"/>
      <c r="B121" s="719"/>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c r="AD121" s="718"/>
    </row>
    <row r="122" spans="1:30">
      <c r="A122" s="718"/>
      <c r="B122" s="719"/>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row>
    <row r="123" spans="1:30">
      <c r="A123" s="718"/>
      <c r="B123" s="719"/>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c r="AD123" s="718"/>
    </row>
    <row r="124" spans="1:30">
      <c r="A124" s="718"/>
      <c r="B124" s="719"/>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row>
    <row r="125" spans="1:30">
      <c r="A125" s="718"/>
      <c r="B125" s="719"/>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row>
    <row r="126" spans="1:30">
      <c r="A126" s="718"/>
      <c r="B126" s="719"/>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row>
    <row r="127" spans="1:30">
      <c r="A127" s="718"/>
      <c r="B127" s="719"/>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row>
    <row r="128" spans="1:30">
      <c r="A128" s="718"/>
      <c r="B128" s="719"/>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row>
    <row r="129" spans="1:30">
      <c r="A129" s="718"/>
      <c r="B129" s="719"/>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row>
    <row r="130" spans="1:30">
      <c r="A130" s="718"/>
      <c r="B130" s="719"/>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row>
    <row r="131" spans="1:30">
      <c r="A131" s="718"/>
      <c r="B131" s="719"/>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row>
    <row r="132" spans="1:30">
      <c r="A132" s="718"/>
      <c r="B132" s="719"/>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row>
    <row r="133" spans="1:30">
      <c r="A133" s="718"/>
      <c r="B133" s="719"/>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row>
    <row r="134" spans="1:30">
      <c r="A134" s="718"/>
      <c r="B134" s="719"/>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row>
    <row r="135" spans="1:30">
      <c r="A135" s="718"/>
      <c r="B135" s="719"/>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row>
    <row r="136" spans="1:30">
      <c r="A136" s="718"/>
      <c r="B136" s="719"/>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row>
    <row r="137" spans="1:30">
      <c r="A137" s="718"/>
      <c r="B137" s="719"/>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row>
    <row r="138" spans="1:30">
      <c r="A138" s="718"/>
      <c r="B138" s="719"/>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row>
    <row r="139" spans="1:30">
      <c r="A139" s="718"/>
      <c r="B139" s="719"/>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row>
    <row r="140" spans="1:30">
      <c r="A140" s="718"/>
      <c r="B140" s="719"/>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row>
    <row r="141" spans="1:30">
      <c r="A141" s="718"/>
      <c r="B141" s="719"/>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c r="AD141" s="718"/>
    </row>
    <row r="142" spans="1:30">
      <c r="A142" s="718"/>
      <c r="B142" s="719"/>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c r="AD142" s="718"/>
    </row>
    <row r="143" spans="1:30">
      <c r="A143" s="718"/>
      <c r="B143" s="719"/>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c r="AD143" s="718"/>
    </row>
    <row r="144" spans="1:30">
      <c r="A144" s="718"/>
      <c r="B144" s="719"/>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row>
    <row r="145" spans="1:30">
      <c r="A145" s="718"/>
      <c r="B145" s="719"/>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c r="AD145" s="718"/>
    </row>
    <row r="146" spans="1:30">
      <c r="A146" s="718"/>
      <c r="B146" s="719"/>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c r="AD146" s="718"/>
    </row>
    <row r="147" spans="1:30">
      <c r="A147" s="718"/>
      <c r="B147" s="719"/>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row>
    <row r="148" spans="1:30">
      <c r="A148" s="718"/>
      <c r="B148" s="719"/>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row>
    <row r="149" spans="1:30">
      <c r="A149" s="718"/>
      <c r="B149" s="719"/>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c r="AD149" s="718"/>
    </row>
    <row r="150" spans="1:30">
      <c r="A150" s="718"/>
      <c r="B150" s="719"/>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c r="AD150" s="718"/>
    </row>
    <row r="151" spans="1:30">
      <c r="A151" s="718"/>
      <c r="B151" s="719"/>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c r="AD151" s="718"/>
    </row>
    <row r="152" spans="1:30">
      <c r="A152" s="718"/>
      <c r="B152" s="719"/>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c r="AD152" s="718"/>
    </row>
    <row r="153" spans="1:30">
      <c r="A153" s="718"/>
      <c r="B153" s="719"/>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c r="AD153" s="718"/>
    </row>
    <row r="154" spans="1:30">
      <c r="A154" s="718"/>
      <c r="B154" s="719"/>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c r="AD154" s="718"/>
    </row>
    <row r="155" spans="1:30">
      <c r="A155" s="718"/>
      <c r="B155" s="719"/>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c r="AD155" s="718"/>
    </row>
    <row r="156" spans="1:30">
      <c r="A156" s="718"/>
      <c r="B156" s="719"/>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c r="AD156" s="718"/>
    </row>
    <row r="157" spans="1:30">
      <c r="A157" s="718"/>
      <c r="B157" s="719"/>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c r="AD157" s="718"/>
    </row>
    <row r="158" spans="1:30">
      <c r="A158" s="718"/>
      <c r="B158" s="719"/>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c r="AD158" s="718"/>
    </row>
    <row r="159" spans="1:30">
      <c r="A159" s="718"/>
      <c r="B159" s="719"/>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row>
    <row r="160" spans="1:30">
      <c r="A160" s="718"/>
      <c r="B160" s="719"/>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c r="AD160" s="718"/>
    </row>
    <row r="161" spans="1:30">
      <c r="A161" s="718"/>
      <c r="B161" s="719"/>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row>
    <row r="162" spans="1:30">
      <c r="A162" s="718"/>
      <c r="B162" s="719"/>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row>
    <row r="163" spans="1:30">
      <c r="A163" s="718"/>
      <c r="B163" s="719"/>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row>
    <row r="164" spans="1:30">
      <c r="A164" s="718"/>
      <c r="B164" s="719"/>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row>
    <row r="165" spans="1:30">
      <c r="A165" s="718"/>
      <c r="B165" s="719"/>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row>
  </sheetData>
  <sheetProtection password="EAD7" sheet="1" objects="1" scenarios="1"/>
  <mergeCells count="3">
    <mergeCell ref="D2:E2"/>
    <mergeCell ref="O5:P5"/>
    <mergeCell ref="H11:I11"/>
  </mergeCells>
  <dataValidations count="3">
    <dataValidation allowBlank="1" showInputMessage="1" showErrorMessage="1" promptTitle="Vorsicht!" prompt="Wenn Sie die manuelle Bearbeitung zulassen, können Sie  die -  in der Regel -  monatliche Gleichverteilung der aus dem  Blatt Rentabilität übernommenen Jahreswerte überschreiben!" sqref="B2" xr:uid="{00000000-0002-0000-1100-000000000000}"/>
    <dataValidation type="custom" showInputMessage="1" showErrorMessage="1" errorTitle="Manuelle Bearbeitung deaktiviert" error="Wenn Sie die vorgeschlagenen Werte überschreiben wollen, aktivieren Sie oben die manuelle Bearbeitung, indem Sie &quot;ja&quot; eingeben!" sqref="C10:N10 C13:N36" xr:uid="{00000000-0002-0000-1100-000001000000}">
      <formula1>$B$2="ja"</formula1>
    </dataValidation>
    <dataValidation allowBlank="1" showInputMessage="1" showErrorMessage="1" promptTitle="Vorsicht!" prompt="Wenn Sie die manuelle Bearbeitung zulassen, überschreiben Sie die monatliche Gleichverteilung der ermittelten Jahreswerte!" sqref="C2" xr:uid="{00000000-0002-0000-1100-000002000000}"/>
  </dataValidations>
  <hyperlinks>
    <hyperlink ref="D2:E2" location="Startseite!C7" display="zurück zur Startseite" xr:uid="{00000000-0004-0000-1100-000000000000}"/>
  </hyperlinks>
  <pageMargins left="0.86614173228346458" right="0" top="1.2598425196850394" bottom="0.23622047244094491" header="0.19685039370078741" footer="0.23622047244094491"/>
  <pageSetup paperSize="9" scale="43" orientation="landscape" blackAndWhite="1" r:id="rId1"/>
  <headerFooter alignWithMargins="0">
    <oddFooter>&amp;L&amp;D&amp;RCopyright: Handwerkskammer Düsseldorf</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21">
    <tabColor theme="6" tint="0.79998168889431442"/>
    <pageSetUpPr fitToPage="1"/>
  </sheetPr>
  <dimension ref="A2:AH169"/>
  <sheetViews>
    <sheetView showGridLines="0" zoomScale="70" zoomScaleNormal="70" zoomScaleSheetLayoutView="50" workbookViewId="0">
      <selection activeCell="D14" sqref="D14"/>
    </sheetView>
  </sheetViews>
  <sheetFormatPr baseColWidth="10" defaultColWidth="11.44140625" defaultRowHeight="13.2" outlineLevelRow="1"/>
  <cols>
    <col min="1" max="1" width="62.109375" style="17" customWidth="1"/>
    <col min="2" max="2" width="10.44140625" style="53" customWidth="1"/>
    <col min="3" max="3" width="16.44140625" style="17" customWidth="1"/>
    <col min="4" max="16" width="14.44140625" style="17" customWidth="1"/>
    <col min="17" max="17" width="11.44140625" style="17"/>
    <col min="18" max="18" width="25.44140625" style="17" customWidth="1"/>
    <col min="19" max="16384" width="11.44140625" style="17"/>
  </cols>
  <sheetData>
    <row r="2" spans="1:34" ht="15">
      <c r="A2" s="933" t="s">
        <v>508</v>
      </c>
      <c r="B2" s="943" t="str">
        <f>'Liquiditätsplan-1.Jahr'!B2</f>
        <v>nein</v>
      </c>
      <c r="C2" s="934"/>
      <c r="D2" s="1144" t="s">
        <v>502</v>
      </c>
      <c r="E2" s="1145"/>
    </row>
    <row r="4" spans="1:34" s="1" customFormat="1" ht="28.2">
      <c r="A4" s="627" t="str">
        <f xml:space="preserve"> CONCATENATE( "Liquiditätsplanung des 2. Geschäftsjahres des Unternehmens :  ", Startseite!C14)</f>
        <v xml:space="preserve">Liquiditätsplanung des 2. Geschäftsjahres des Unternehmens :  </v>
      </c>
      <c r="B4" s="720"/>
      <c r="C4" s="629"/>
      <c r="D4" s="630"/>
      <c r="E4" s="630"/>
      <c r="F4" s="630"/>
      <c r="G4" s="630"/>
      <c r="H4" s="630"/>
      <c r="I4" s="631">
        <f>'Personalkosten 2. Jahr'!K4</f>
        <v>45977</v>
      </c>
      <c r="J4" s="632" t="s">
        <v>249</v>
      </c>
      <c r="K4" s="631">
        <f>'Personalkosten 2. Jahr'!M4</f>
        <v>46307</v>
      </c>
      <c r="L4" s="630"/>
      <c r="M4" s="936"/>
      <c r="N4" s="936"/>
      <c r="O4" s="936"/>
      <c r="P4" s="936"/>
      <c r="Q4" s="630"/>
      <c r="R4" s="630"/>
      <c r="S4" s="630"/>
      <c r="T4" s="630"/>
      <c r="U4" s="630"/>
      <c r="V4" s="630"/>
      <c r="W4" s="630"/>
      <c r="X4" s="630"/>
      <c r="Y4" s="630"/>
      <c r="Z4" s="630"/>
      <c r="AA4" s="630"/>
      <c r="AB4" s="630"/>
      <c r="AC4" s="630"/>
      <c r="AD4" s="630"/>
      <c r="AE4" s="630"/>
      <c r="AF4" s="630"/>
      <c r="AG4" s="630"/>
      <c r="AH4" s="630"/>
    </row>
    <row r="5" spans="1:34" s="1" customFormat="1" ht="17.25" customHeight="1">
      <c r="A5" s="633"/>
      <c r="B5" s="721"/>
      <c r="C5" s="633"/>
      <c r="D5" s="630"/>
      <c r="E5" s="630"/>
      <c r="F5" s="630"/>
      <c r="G5" s="630"/>
      <c r="H5" s="630"/>
      <c r="I5" s="630"/>
      <c r="J5" s="630"/>
      <c r="K5" s="630"/>
      <c r="L5" s="630"/>
      <c r="M5" s="936"/>
      <c r="N5" s="937"/>
      <c r="O5" s="1349"/>
      <c r="P5" s="1349"/>
      <c r="Q5" s="630"/>
      <c r="R5" s="630"/>
      <c r="S5" s="630"/>
      <c r="T5" s="630"/>
      <c r="U5" s="630"/>
      <c r="V5" s="630"/>
      <c r="W5" s="630"/>
      <c r="X5" s="630"/>
      <c r="Y5" s="630"/>
      <c r="Z5" s="630"/>
      <c r="AA5" s="630"/>
      <c r="AB5" s="630"/>
      <c r="AC5" s="630"/>
      <c r="AD5" s="630"/>
      <c r="AE5" s="630"/>
      <c r="AF5" s="630"/>
      <c r="AG5" s="630"/>
      <c r="AH5" s="630"/>
    </row>
    <row r="6" spans="1:34" s="1" customFormat="1" ht="15.6">
      <c r="A6" s="630"/>
      <c r="B6" s="722" t="s">
        <v>424</v>
      </c>
      <c r="C6" s="630"/>
      <c r="D6" s="630"/>
      <c r="E6" s="630"/>
      <c r="F6" s="630"/>
      <c r="G6" s="723"/>
      <c r="H6" s="630"/>
      <c r="I6" s="630"/>
      <c r="J6" s="630"/>
      <c r="K6" s="630"/>
      <c r="L6" s="630"/>
      <c r="M6" s="936"/>
      <c r="N6" s="936"/>
      <c r="O6" s="936"/>
      <c r="P6" s="936"/>
      <c r="Q6" s="630"/>
      <c r="R6" s="630"/>
      <c r="S6" s="630"/>
      <c r="T6" s="630"/>
      <c r="U6" s="630"/>
      <c r="V6" s="630"/>
      <c r="W6" s="630"/>
      <c r="X6" s="630"/>
      <c r="Y6" s="630"/>
      <c r="Z6" s="630"/>
      <c r="AA6" s="630"/>
      <c r="AB6" s="630"/>
      <c r="AC6" s="630"/>
      <c r="AD6" s="630"/>
      <c r="AE6" s="630"/>
      <c r="AF6" s="630"/>
      <c r="AG6" s="630"/>
      <c r="AH6" s="630"/>
    </row>
    <row r="7" spans="1:34" s="1" customFormat="1" ht="15">
      <c r="A7" s="630"/>
      <c r="B7" s="724">
        <f>'Liquiditätsplan-1.Jahr'!B7</f>
        <v>0.5</v>
      </c>
      <c r="C7" s="636" t="s">
        <v>54</v>
      </c>
      <c r="D7" s="637"/>
      <c r="E7" s="636"/>
      <c r="F7" s="636"/>
      <c r="G7" s="638"/>
      <c r="H7" s="630"/>
      <c r="I7" s="630"/>
      <c r="J7" s="630"/>
      <c r="K7" s="630"/>
      <c r="L7" s="630"/>
      <c r="M7" s="936"/>
      <c r="N7" s="938"/>
      <c r="O7" s="939"/>
      <c r="P7" s="940"/>
      <c r="Q7" s="630"/>
      <c r="R7" s="630"/>
      <c r="S7" s="630"/>
      <c r="T7" s="630"/>
      <c r="U7" s="630"/>
      <c r="V7" s="630"/>
      <c r="W7" s="630"/>
      <c r="X7" s="630"/>
      <c r="Y7" s="630"/>
      <c r="Z7" s="630"/>
      <c r="AA7" s="630"/>
      <c r="AB7" s="630"/>
      <c r="AC7" s="630"/>
      <c r="AD7" s="630"/>
      <c r="AE7" s="630"/>
      <c r="AF7" s="630"/>
      <c r="AG7" s="630"/>
      <c r="AH7" s="630"/>
    </row>
    <row r="8" spans="1:34" s="1" customFormat="1" ht="15">
      <c r="A8" s="630"/>
      <c r="B8" s="725">
        <f>'Liquiditätsplan-1.Jahr'!B8</f>
        <v>0.4</v>
      </c>
      <c r="C8" s="630" t="s">
        <v>55</v>
      </c>
      <c r="D8" s="639"/>
      <c r="E8" s="630"/>
      <c r="F8" s="630"/>
      <c r="G8" s="640"/>
      <c r="H8" s="630"/>
      <c r="I8" s="630"/>
      <c r="J8" s="630"/>
      <c r="K8" s="630"/>
      <c r="L8" s="630"/>
      <c r="M8" s="936"/>
      <c r="N8" s="936"/>
      <c r="O8" s="936"/>
      <c r="P8" s="936"/>
      <c r="Q8" s="630"/>
      <c r="R8" s="630"/>
      <c r="S8" s="630"/>
      <c r="T8" s="630"/>
      <c r="U8" s="630"/>
      <c r="V8" s="630"/>
      <c r="W8" s="630"/>
      <c r="X8" s="630"/>
      <c r="Y8" s="630"/>
      <c r="Z8" s="630"/>
      <c r="AA8" s="630"/>
      <c r="AB8" s="630"/>
      <c r="AC8" s="630"/>
      <c r="AD8" s="630"/>
      <c r="AE8" s="630"/>
      <c r="AF8" s="630"/>
      <c r="AG8" s="630"/>
      <c r="AH8" s="630"/>
    </row>
    <row r="9" spans="1:34" s="1" customFormat="1" ht="15">
      <c r="A9" s="630"/>
      <c r="B9" s="726">
        <f>'Liquiditätsplan-1.Jahr'!B9</f>
        <v>0.1</v>
      </c>
      <c r="C9" s="642" t="s">
        <v>56</v>
      </c>
      <c r="D9" s="643"/>
      <c r="E9" s="642"/>
      <c r="F9" s="642"/>
      <c r="G9" s="644"/>
      <c r="H9" s="630"/>
      <c r="I9" s="932"/>
      <c r="J9" s="630"/>
      <c r="K9" s="630"/>
      <c r="L9" s="630"/>
      <c r="M9" s="630"/>
      <c r="N9" s="630"/>
      <c r="O9" s="630"/>
      <c r="P9" s="630"/>
      <c r="Q9" s="630"/>
      <c r="R9" s="261"/>
      <c r="S9" s="261"/>
      <c r="T9" s="261"/>
      <c r="U9" s="261"/>
      <c r="V9" s="630"/>
      <c r="W9" s="630"/>
      <c r="X9" s="630"/>
      <c r="Y9" s="630"/>
      <c r="Z9" s="630"/>
      <c r="AA9" s="630"/>
      <c r="AB9" s="630"/>
      <c r="AC9" s="630"/>
      <c r="AD9" s="630"/>
      <c r="AE9" s="630"/>
      <c r="AF9" s="630"/>
      <c r="AG9" s="630"/>
      <c r="AH9" s="630"/>
    </row>
    <row r="10" spans="1:34" s="1" customFormat="1" ht="15.6" hidden="1">
      <c r="A10" s="630"/>
      <c r="B10" s="725">
        <f>'Liquiditätsplan-1.Jahr'!B10</f>
        <v>0.19</v>
      </c>
      <c r="C10" s="636" t="s">
        <v>57</v>
      </c>
      <c r="D10" s="641"/>
      <c r="E10" s="636"/>
      <c r="F10" s="636"/>
      <c r="G10" s="638"/>
      <c r="H10" s="630"/>
      <c r="I10" s="932"/>
      <c r="J10" s="630"/>
      <c r="K10" s="630"/>
      <c r="L10" s="630"/>
      <c r="M10" s="630"/>
      <c r="N10" s="630"/>
      <c r="O10" s="630"/>
      <c r="P10" s="630"/>
      <c r="Q10" s="630"/>
      <c r="R10" s="935"/>
      <c r="S10" s="261"/>
      <c r="T10" s="261"/>
      <c r="U10" s="261"/>
      <c r="V10" s="630"/>
      <c r="W10" s="630"/>
      <c r="X10" s="630"/>
      <c r="Y10" s="630"/>
      <c r="Z10" s="630"/>
      <c r="AA10" s="630"/>
      <c r="AB10" s="630"/>
      <c r="AC10" s="630"/>
      <c r="AD10" s="630"/>
      <c r="AE10" s="630"/>
      <c r="AF10" s="630"/>
      <c r="AG10" s="630"/>
      <c r="AH10" s="630"/>
    </row>
    <row r="11" spans="1:34" s="1" customFormat="1" ht="15" hidden="1">
      <c r="A11" s="630"/>
      <c r="B11" s="726">
        <f>'Liquiditätsplan-1.Jahr'!B11</f>
        <v>0.19</v>
      </c>
      <c r="C11" s="642" t="s">
        <v>58</v>
      </c>
      <c r="D11" s="643"/>
      <c r="E11" s="642"/>
      <c r="F11" s="642"/>
      <c r="G11" s="644"/>
      <c r="H11" s="630"/>
      <c r="I11" s="630"/>
      <c r="J11" s="630"/>
      <c r="K11" s="630"/>
      <c r="L11" s="630"/>
      <c r="M11" s="630"/>
      <c r="N11" s="630"/>
      <c r="O11" s="630"/>
      <c r="P11" s="630"/>
      <c r="Q11" s="630"/>
      <c r="R11" s="262"/>
      <c r="S11" s="261"/>
      <c r="T11" s="261"/>
      <c r="U11" s="261"/>
      <c r="V11" s="630"/>
      <c r="W11" s="630"/>
      <c r="X11" s="630"/>
      <c r="Y11" s="630"/>
      <c r="Z11" s="630"/>
      <c r="AA11" s="630"/>
      <c r="AB11" s="630"/>
      <c r="AC11" s="630"/>
      <c r="AD11" s="630"/>
      <c r="AE11" s="630"/>
      <c r="AF11" s="630"/>
      <c r="AG11" s="630"/>
      <c r="AH11" s="630"/>
    </row>
    <row r="12" spans="1:34" s="1" customFormat="1" ht="16.2" thickBot="1">
      <c r="A12" s="645"/>
      <c r="B12" s="727"/>
      <c r="C12" s="645"/>
      <c r="D12" s="647"/>
      <c r="E12" s="645"/>
      <c r="F12" s="630"/>
      <c r="G12" s="630"/>
      <c r="H12" s="630"/>
      <c r="I12" s="630"/>
      <c r="J12" s="630"/>
      <c r="K12" s="630"/>
      <c r="L12" s="630"/>
      <c r="M12" s="630"/>
      <c r="N12" s="119"/>
      <c r="O12" s="119"/>
      <c r="P12" s="630"/>
      <c r="Q12" s="630"/>
      <c r="R12" s="63"/>
      <c r="S12" s="63"/>
      <c r="T12" s="63"/>
      <c r="U12" s="63"/>
      <c r="V12" s="630"/>
      <c r="W12" s="630"/>
      <c r="X12" s="630"/>
      <c r="Y12" s="630"/>
      <c r="Z12" s="630"/>
      <c r="AA12" s="630"/>
      <c r="AB12" s="630"/>
      <c r="AC12" s="630"/>
      <c r="AD12" s="630"/>
      <c r="AE12" s="630"/>
      <c r="AF12" s="630"/>
      <c r="AG12" s="630"/>
      <c r="AH12" s="630"/>
    </row>
    <row r="13" spans="1:34" s="1" customFormat="1" ht="15.6">
      <c r="A13" s="630"/>
      <c r="B13" s="728" t="s">
        <v>426</v>
      </c>
      <c r="C13" s="649" t="s">
        <v>59</v>
      </c>
      <c r="D13" s="650">
        <f>Startseite!D16</f>
        <v>45597</v>
      </c>
      <c r="E13" s="651">
        <f>D13+32</f>
        <v>45629</v>
      </c>
      <c r="F13" s="651">
        <f t="shared" ref="F13:O13" si="0">E13+31</f>
        <v>45660</v>
      </c>
      <c r="G13" s="651">
        <f t="shared" si="0"/>
        <v>45691</v>
      </c>
      <c r="H13" s="651">
        <f t="shared" si="0"/>
        <v>45722</v>
      </c>
      <c r="I13" s="651">
        <f t="shared" si="0"/>
        <v>45753</v>
      </c>
      <c r="J13" s="651">
        <f t="shared" si="0"/>
        <v>45784</v>
      </c>
      <c r="K13" s="651">
        <f t="shared" si="0"/>
        <v>45815</v>
      </c>
      <c r="L13" s="651">
        <f t="shared" si="0"/>
        <v>45846</v>
      </c>
      <c r="M13" s="651">
        <f t="shared" si="0"/>
        <v>45877</v>
      </c>
      <c r="N13" s="651">
        <f t="shared" si="0"/>
        <v>45908</v>
      </c>
      <c r="O13" s="729">
        <f t="shared" si="0"/>
        <v>45939</v>
      </c>
      <c r="P13" s="652" t="s">
        <v>443</v>
      </c>
      <c r="Q13" s="656"/>
      <c r="R13" s="630"/>
      <c r="S13" s="630"/>
      <c r="T13" s="630"/>
      <c r="U13" s="630"/>
      <c r="V13" s="630"/>
      <c r="W13" s="630"/>
      <c r="X13" s="630"/>
      <c r="Y13" s="630"/>
      <c r="Z13" s="630"/>
      <c r="AA13" s="630"/>
      <c r="AB13" s="630"/>
      <c r="AC13" s="630"/>
      <c r="AD13" s="630"/>
      <c r="AE13" s="630"/>
      <c r="AF13" s="630"/>
      <c r="AG13" s="630"/>
      <c r="AH13" s="630"/>
    </row>
    <row r="14" spans="1:34" s="1" customFormat="1" ht="15.6">
      <c r="A14" s="653" t="s">
        <v>61</v>
      </c>
      <c r="B14" s="728"/>
      <c r="C14" s="654">
        <f>Rentabilität!H22</f>
        <v>0</v>
      </c>
      <c r="D14" s="828">
        <f>Hilfstabelle!B159</f>
        <v>0</v>
      </c>
      <c r="E14" s="828">
        <f>Hilfstabelle!C159</f>
        <v>0</v>
      </c>
      <c r="F14" s="828">
        <f>Hilfstabelle!D159</f>
        <v>0</v>
      </c>
      <c r="G14" s="828">
        <f>Hilfstabelle!E159</f>
        <v>0</v>
      </c>
      <c r="H14" s="828">
        <f>Hilfstabelle!F159</f>
        <v>0</v>
      </c>
      <c r="I14" s="828">
        <f>Hilfstabelle!G159</f>
        <v>0</v>
      </c>
      <c r="J14" s="828">
        <f>Hilfstabelle!H159</f>
        <v>0</v>
      </c>
      <c r="K14" s="828">
        <f>Hilfstabelle!I159</f>
        <v>0</v>
      </c>
      <c r="L14" s="828">
        <f>Hilfstabelle!J159</f>
        <v>0</v>
      </c>
      <c r="M14" s="828">
        <f>Hilfstabelle!K159</f>
        <v>0</v>
      </c>
      <c r="N14" s="828">
        <f>Hilfstabelle!L159</f>
        <v>0</v>
      </c>
      <c r="O14" s="828">
        <f>Hilfstabelle!M159</f>
        <v>0</v>
      </c>
      <c r="P14" s="655">
        <f>SUM(D14:O14)</f>
        <v>0</v>
      </c>
      <c r="Q14" s="656" t="str">
        <f>IF(AND(ABS(P14-C14)&gt;100,P14&lt;&gt;0),"Überprüfe Eintragung","")</f>
        <v/>
      </c>
      <c r="R14" s="630"/>
      <c r="S14" s="630"/>
      <c r="T14" s="630"/>
      <c r="U14" s="630"/>
      <c r="V14" s="630"/>
      <c r="W14" s="630"/>
      <c r="X14" s="630"/>
      <c r="Y14" s="630"/>
      <c r="Z14" s="630"/>
      <c r="AA14" s="630"/>
      <c r="AB14" s="630"/>
      <c r="AC14" s="630"/>
      <c r="AD14" s="630"/>
      <c r="AE14" s="630"/>
      <c r="AF14" s="630"/>
      <c r="AG14" s="630"/>
      <c r="AH14" s="630"/>
    </row>
    <row r="15" spans="1:34" s="1" customFormat="1" ht="15">
      <c r="A15" s="657" t="s">
        <v>62</v>
      </c>
      <c r="B15" s="730"/>
      <c r="C15" s="659">
        <f>IF(Hilfstabelle!E153="ja",Rentabilität!E12*Rentabilität!H12+Rentabilität!E13*Rentabilität!H13+Rentabilität!E14*Rentabilität!H14+Rentabilität!E15*Rentabilität!H15+Rentabilität!E16*Rentabilität!H16+Rentabilität!E17*Rentabilität!H17+Rentabilität!E18*Rentabilität!H18+Rentabilität!E19*Rentabilität!H19+Rentabilität!E20*Rentabilität!H20+Rentabilität!E21*Rentabilität!H21,0)</f>
        <v>0</v>
      </c>
      <c r="D15" s="660">
        <f>IF($C$14&gt;0,$C$15/$C$14*D14,0)</f>
        <v>0</v>
      </c>
      <c r="E15" s="660">
        <f t="shared" ref="E15:O15" si="1">IF($C$14&gt;0,$C$15/$C$14*E14,0)</f>
        <v>0</v>
      </c>
      <c r="F15" s="660">
        <f t="shared" si="1"/>
        <v>0</v>
      </c>
      <c r="G15" s="660">
        <f t="shared" si="1"/>
        <v>0</v>
      </c>
      <c r="H15" s="660">
        <f t="shared" si="1"/>
        <v>0</v>
      </c>
      <c r="I15" s="660">
        <f t="shared" si="1"/>
        <v>0</v>
      </c>
      <c r="J15" s="660">
        <f t="shared" si="1"/>
        <v>0</v>
      </c>
      <c r="K15" s="660">
        <f t="shared" si="1"/>
        <v>0</v>
      </c>
      <c r="L15" s="660">
        <f t="shared" si="1"/>
        <v>0</v>
      </c>
      <c r="M15" s="660">
        <f t="shared" si="1"/>
        <v>0</v>
      </c>
      <c r="N15" s="660">
        <f t="shared" si="1"/>
        <v>0</v>
      </c>
      <c r="O15" s="660">
        <f t="shared" si="1"/>
        <v>0</v>
      </c>
      <c r="P15" s="675">
        <f>SUM(D15:O15)</f>
        <v>0</v>
      </c>
      <c r="Q15" s="656"/>
      <c r="R15" s="630"/>
      <c r="S15" s="630"/>
      <c r="T15" s="630"/>
      <c r="U15" s="630"/>
      <c r="V15" s="630"/>
      <c r="W15" s="630"/>
      <c r="X15" s="630"/>
      <c r="Y15" s="630"/>
      <c r="Z15" s="630"/>
      <c r="AA15" s="630"/>
      <c r="AB15" s="630"/>
      <c r="AC15" s="630"/>
      <c r="AD15" s="630"/>
      <c r="AE15" s="630"/>
      <c r="AF15" s="630"/>
      <c r="AG15" s="630"/>
      <c r="AH15" s="630"/>
    </row>
    <row r="16" spans="1:34" s="1" customFormat="1" ht="15.6">
      <c r="A16" s="662"/>
      <c r="B16" s="731"/>
      <c r="C16" s="664"/>
      <c r="D16" s="731" t="str">
        <f>IF(Hilfstabelle!$E$153="nein","&lt;","")</f>
        <v/>
      </c>
      <c r="E16" s="731" t="str">
        <f>IF(Hilfstabelle!$E$153="nein","-","")</f>
        <v/>
      </c>
      <c r="F16" s="731" t="str">
        <f>IF(Hilfstabelle!$E$153="nein","-","")</f>
        <v/>
      </c>
      <c r="G16" s="731" t="str">
        <f>IF(Hilfstabelle!$E$153="nein","-","")</f>
        <v/>
      </c>
      <c r="H16" s="731" t="str">
        <f>IF(Hilfstabelle!$E$153="nein","-","")</f>
        <v/>
      </c>
      <c r="I16" s="1350" t="str">
        <f>IF(Hilfstabelle!$E$153="nein","Kleinunternehmerregelung","")</f>
        <v/>
      </c>
      <c r="J16" s="1350"/>
      <c r="K16" s="731" t="str">
        <f>IF(Hilfstabelle!$E$153="nein","-","")</f>
        <v/>
      </c>
      <c r="L16" s="731" t="str">
        <f>IF(Hilfstabelle!$E$153="nein","-","")</f>
        <v/>
      </c>
      <c r="M16" s="731" t="str">
        <f>IF(Hilfstabelle!$E$153="nein","-","")</f>
        <v/>
      </c>
      <c r="N16" s="731" t="str">
        <f>IF(Hilfstabelle!$E$153="nein","-","")</f>
        <v/>
      </c>
      <c r="O16" s="731" t="str">
        <f>IF(Hilfstabelle!$E$153="nein","&gt;","")</f>
        <v/>
      </c>
      <c r="P16" s="662"/>
      <c r="Q16" s="656"/>
      <c r="R16" s="630"/>
      <c r="S16" s="630"/>
      <c r="T16" s="630"/>
      <c r="U16" s="630"/>
      <c r="V16" s="630"/>
      <c r="W16" s="630"/>
      <c r="X16" s="630"/>
      <c r="Y16" s="630"/>
      <c r="Z16" s="630"/>
      <c r="AA16" s="630"/>
      <c r="AB16" s="630"/>
      <c r="AC16" s="630"/>
      <c r="AD16" s="630"/>
      <c r="AE16" s="630"/>
      <c r="AF16" s="630"/>
      <c r="AG16" s="630"/>
      <c r="AH16" s="630"/>
    </row>
    <row r="17" spans="1:34" s="1" customFormat="1" ht="15.6">
      <c r="A17" s="666" t="s">
        <v>63</v>
      </c>
      <c r="B17" s="732"/>
      <c r="C17" s="668"/>
      <c r="D17" s="669"/>
      <c r="E17" s="669"/>
      <c r="F17" s="669"/>
      <c r="G17" s="669"/>
      <c r="H17" s="669"/>
      <c r="I17" s="669"/>
      <c r="J17" s="669"/>
      <c r="K17" s="669"/>
      <c r="L17" s="669"/>
      <c r="M17" s="669"/>
      <c r="N17" s="669"/>
      <c r="O17" s="669"/>
      <c r="P17" s="715"/>
      <c r="Q17" s="656"/>
      <c r="R17" s="630"/>
      <c r="S17" s="630"/>
      <c r="T17" s="630"/>
      <c r="U17" s="630"/>
      <c r="V17" s="630"/>
      <c r="W17" s="630"/>
      <c r="X17" s="630"/>
      <c r="Y17" s="630"/>
      <c r="Z17" s="630"/>
      <c r="AA17" s="630"/>
      <c r="AB17" s="630"/>
      <c r="AC17" s="630"/>
      <c r="AD17" s="630"/>
      <c r="AE17" s="630"/>
      <c r="AF17" s="630"/>
      <c r="AG17" s="630"/>
      <c r="AH17" s="630"/>
    </row>
    <row r="18" spans="1:34" s="1" customFormat="1" ht="15">
      <c r="A18" s="670" t="s">
        <v>68</v>
      </c>
      <c r="B18" s="733"/>
      <c r="C18" s="672">
        <f>C14+C15</f>
        <v>0</v>
      </c>
      <c r="D18" s="673">
        <f>(D14+D15)*$B$7</f>
        <v>0</v>
      </c>
      <c r="E18" s="673">
        <f>(D14+D15)*B8+(E14+E15)*B7</f>
        <v>0</v>
      </c>
      <c r="F18" s="673">
        <f>(D14+D15)*$B$9+(E14+E15)*$B$8+(F14+F15)*$B$7</f>
        <v>0</v>
      </c>
      <c r="G18" s="673">
        <f t="shared" ref="G18:O18" si="2">(E14+E15)*$B$9+(F14+F15)*$B$8+(G14+G15)*$B$7</f>
        <v>0</v>
      </c>
      <c r="H18" s="673">
        <f t="shared" si="2"/>
        <v>0</v>
      </c>
      <c r="I18" s="673">
        <f t="shared" si="2"/>
        <v>0</v>
      </c>
      <c r="J18" s="673">
        <f t="shared" si="2"/>
        <v>0</v>
      </c>
      <c r="K18" s="673">
        <f t="shared" si="2"/>
        <v>0</v>
      </c>
      <c r="L18" s="673">
        <f t="shared" si="2"/>
        <v>0</v>
      </c>
      <c r="M18" s="673">
        <f t="shared" si="2"/>
        <v>0</v>
      </c>
      <c r="N18" s="673">
        <f t="shared" si="2"/>
        <v>0</v>
      </c>
      <c r="O18" s="673">
        <f t="shared" si="2"/>
        <v>0</v>
      </c>
      <c r="P18" s="675">
        <f>SUM(D18:O18)</f>
        <v>0</v>
      </c>
      <c r="Q18" s="656"/>
      <c r="R18" s="630"/>
      <c r="S18" s="630"/>
      <c r="T18" s="630"/>
      <c r="U18" s="630"/>
      <c r="V18" s="630"/>
      <c r="W18" s="630"/>
      <c r="X18" s="630"/>
      <c r="Y18" s="630"/>
      <c r="Z18" s="630"/>
      <c r="AA18" s="630"/>
      <c r="AB18" s="630"/>
      <c r="AC18" s="630"/>
      <c r="AD18" s="630"/>
      <c r="AE18" s="630"/>
      <c r="AF18" s="630"/>
      <c r="AG18" s="630"/>
      <c r="AH18" s="630"/>
    </row>
    <row r="19" spans="1:34" s="1" customFormat="1" ht="15">
      <c r="A19" s="657" t="s">
        <v>236</v>
      </c>
      <c r="B19" s="730"/>
      <c r="C19" s="659">
        <f>('Liquiditätsplan-1.Jahr'!N14+'Liquiditätsplan-1.Jahr'!N15)*B9+('Liquiditätsplan-1.Jahr'!O14+'Liquiditätsplan-1.Jahr'!O15)*(B8+B9)</f>
        <v>0</v>
      </c>
      <c r="D19" s="659">
        <f>('Liquiditätsplan-1.Jahr'!N14+'Liquiditätsplan-1.Jahr'!N15)*B9+('Liquiditätsplan-1.Jahr'!O14+'Liquiditätsplan-1.Jahr'!O15)*B8</f>
        <v>0</v>
      </c>
      <c r="E19" s="659">
        <f>('Liquiditätsplan-1.Jahr'!O14+'Liquiditätsplan-1.Jahr'!O15)*B9</f>
        <v>0</v>
      </c>
      <c r="F19" s="659"/>
      <c r="G19" s="659"/>
      <c r="H19" s="659"/>
      <c r="I19" s="659"/>
      <c r="J19" s="659"/>
      <c r="K19" s="659"/>
      <c r="L19" s="659"/>
      <c r="M19" s="659"/>
      <c r="N19" s="659"/>
      <c r="O19" s="734"/>
      <c r="P19" s="675">
        <f>SUM(D19:O19)</f>
        <v>0</v>
      </c>
      <c r="Q19" s="656"/>
      <c r="R19" s="630"/>
      <c r="S19" s="630"/>
      <c r="T19" s="630"/>
      <c r="U19" s="630"/>
      <c r="V19" s="630"/>
      <c r="W19" s="630"/>
      <c r="X19" s="630"/>
      <c r="Y19" s="630"/>
      <c r="Z19" s="630"/>
      <c r="AA19" s="630"/>
      <c r="AB19" s="630"/>
      <c r="AC19" s="630"/>
      <c r="AD19" s="630"/>
      <c r="AE19" s="630"/>
      <c r="AF19" s="630"/>
      <c r="AG19" s="630"/>
      <c r="AH19" s="630"/>
    </row>
    <row r="20" spans="1:34" s="1" customFormat="1" ht="16.2" thickBot="1">
      <c r="A20" s="657" t="s">
        <v>289</v>
      </c>
      <c r="B20" s="728"/>
      <c r="C20" s="828"/>
      <c r="D20" s="828"/>
      <c r="E20" s="828"/>
      <c r="F20" s="828"/>
      <c r="G20" s="828"/>
      <c r="H20" s="828"/>
      <c r="I20" s="828"/>
      <c r="J20" s="828"/>
      <c r="K20" s="828"/>
      <c r="L20" s="828"/>
      <c r="M20" s="828"/>
      <c r="N20" s="828"/>
      <c r="O20" s="830"/>
      <c r="P20" s="661">
        <f>SUM(D20:O20)</f>
        <v>0</v>
      </c>
      <c r="Q20" s="656" t="str">
        <f>IF(ABS(P20-C20)&gt;100,"Überprüfe Eintragung","")</f>
        <v/>
      </c>
      <c r="R20" s="630"/>
      <c r="S20" s="630"/>
      <c r="T20" s="630"/>
      <c r="U20" s="630"/>
      <c r="V20" s="630"/>
      <c r="W20" s="630"/>
      <c r="X20" s="630"/>
      <c r="Y20" s="630"/>
      <c r="Z20" s="630"/>
      <c r="AA20" s="630"/>
      <c r="AB20" s="630"/>
      <c r="AC20" s="630"/>
      <c r="AD20" s="630"/>
      <c r="AE20" s="630"/>
      <c r="AF20" s="630"/>
      <c r="AG20" s="630"/>
      <c r="AH20" s="630"/>
    </row>
    <row r="21" spans="1:34" s="1" customFormat="1" ht="16.8" thickTop="1" thickBot="1">
      <c r="A21" s="677" t="s">
        <v>190</v>
      </c>
      <c r="B21" s="735"/>
      <c r="C21" s="679">
        <f>C18+C19+C20</f>
        <v>0</v>
      </c>
      <c r="D21" s="680">
        <f>D18+D19+D20</f>
        <v>0</v>
      </c>
      <c r="E21" s="680">
        <f t="shared" ref="E21:O21" si="3">E18+E19+E20</f>
        <v>0</v>
      </c>
      <c r="F21" s="680">
        <f t="shared" si="3"/>
        <v>0</v>
      </c>
      <c r="G21" s="680">
        <f t="shared" si="3"/>
        <v>0</v>
      </c>
      <c r="H21" s="680">
        <f t="shared" si="3"/>
        <v>0</v>
      </c>
      <c r="I21" s="680">
        <f t="shared" si="3"/>
        <v>0</v>
      </c>
      <c r="J21" s="680">
        <f t="shared" si="3"/>
        <v>0</v>
      </c>
      <c r="K21" s="680">
        <f t="shared" si="3"/>
        <v>0</v>
      </c>
      <c r="L21" s="680">
        <f t="shared" si="3"/>
        <v>0</v>
      </c>
      <c r="M21" s="680">
        <f t="shared" si="3"/>
        <v>0</v>
      </c>
      <c r="N21" s="680">
        <f t="shared" si="3"/>
        <v>0</v>
      </c>
      <c r="O21" s="736">
        <f t="shared" si="3"/>
        <v>0</v>
      </c>
      <c r="P21" s="737">
        <f>SUM(D21:O21)</f>
        <v>0</v>
      </c>
      <c r="Q21" s="656"/>
      <c r="R21" s="630"/>
      <c r="S21" s="630"/>
      <c r="T21" s="630"/>
      <c r="U21" s="630"/>
      <c r="V21" s="630"/>
      <c r="W21" s="630"/>
      <c r="X21" s="630"/>
      <c r="Y21" s="630"/>
      <c r="Z21" s="630"/>
      <c r="AA21" s="630"/>
      <c r="AB21" s="630"/>
      <c r="AC21" s="630"/>
      <c r="AD21" s="630"/>
      <c r="AE21" s="630"/>
      <c r="AF21" s="630"/>
      <c r="AG21" s="630"/>
      <c r="AH21" s="630"/>
    </row>
    <row r="22" spans="1:34" s="1" customFormat="1" ht="15.6" thickTop="1">
      <c r="A22" s="630"/>
      <c r="B22" s="738"/>
      <c r="C22" s="683"/>
      <c r="D22" s="684"/>
      <c r="E22" s="684"/>
      <c r="F22" s="684"/>
      <c r="G22" s="684"/>
      <c r="H22" s="684"/>
      <c r="I22" s="684"/>
      <c r="J22" s="684"/>
      <c r="K22" s="684"/>
      <c r="L22" s="684"/>
      <c r="M22" s="684"/>
      <c r="N22" s="684"/>
      <c r="O22" s="684"/>
      <c r="P22" s="684"/>
      <c r="Q22" s="656"/>
      <c r="R22" s="630"/>
      <c r="S22" s="630"/>
      <c r="T22" s="630"/>
      <c r="U22" s="630"/>
      <c r="V22" s="630"/>
      <c r="W22" s="630"/>
      <c r="X22" s="630"/>
      <c r="Y22" s="630"/>
      <c r="Z22" s="630"/>
      <c r="AA22" s="630"/>
      <c r="AB22" s="630"/>
      <c r="AC22" s="630"/>
      <c r="AD22" s="630"/>
      <c r="AE22" s="630"/>
      <c r="AF22" s="630"/>
      <c r="AG22" s="630"/>
      <c r="AH22" s="630"/>
    </row>
    <row r="23" spans="1:34" s="1" customFormat="1" ht="15.6">
      <c r="A23" s="666" t="s">
        <v>105</v>
      </c>
      <c r="B23" s="732"/>
      <c r="C23" s="668"/>
      <c r="D23" s="685"/>
      <c r="E23" s="685"/>
      <c r="F23" s="685"/>
      <c r="G23" s="685"/>
      <c r="H23" s="685"/>
      <c r="I23" s="685"/>
      <c r="J23" s="685"/>
      <c r="K23" s="685"/>
      <c r="L23" s="685"/>
      <c r="M23" s="685"/>
      <c r="N23" s="685"/>
      <c r="O23" s="685"/>
      <c r="P23" s="684"/>
      <c r="Q23" s="656"/>
      <c r="R23" s="630"/>
      <c r="S23" s="630"/>
      <c r="T23" s="630"/>
      <c r="U23" s="630"/>
      <c r="V23" s="630"/>
      <c r="W23" s="630"/>
      <c r="X23" s="630"/>
      <c r="Y23" s="630"/>
      <c r="Z23" s="630"/>
      <c r="AA23" s="630"/>
      <c r="AB23" s="630"/>
      <c r="AC23" s="630"/>
      <c r="AD23" s="630"/>
      <c r="AE23" s="630"/>
      <c r="AF23" s="630"/>
      <c r="AG23" s="630"/>
      <c r="AH23" s="630"/>
    </row>
    <row r="24" spans="1:34" s="1" customFormat="1" ht="15.75" customHeight="1">
      <c r="A24" s="657" t="s">
        <v>82</v>
      </c>
      <c r="B24" s="730" t="s">
        <v>81</v>
      </c>
      <c r="C24" s="659">
        <f>Rentabilität!H34</f>
        <v>0</v>
      </c>
      <c r="D24" s="828">
        <f>D14*Rentabilität!$I34/100</f>
        <v>0</v>
      </c>
      <c r="E24" s="828">
        <f>E14*Rentabilität!$I34/100</f>
        <v>0</v>
      </c>
      <c r="F24" s="828">
        <f>F14*Rentabilität!$I34/100</f>
        <v>0</v>
      </c>
      <c r="G24" s="828">
        <f>G14*Rentabilität!$I34/100</f>
        <v>0</v>
      </c>
      <c r="H24" s="828">
        <f>H14*Rentabilität!$I34/100</f>
        <v>0</v>
      </c>
      <c r="I24" s="828">
        <f>I14*Rentabilität!$I34/100</f>
        <v>0</v>
      </c>
      <c r="J24" s="828">
        <f>J14*Rentabilität!$I34/100</f>
        <v>0</v>
      </c>
      <c r="K24" s="828">
        <f>K14*Rentabilität!$I34/100</f>
        <v>0</v>
      </c>
      <c r="L24" s="828">
        <f>L14*Rentabilität!$I34/100</f>
        <v>0</v>
      </c>
      <c r="M24" s="828">
        <f>M14*Rentabilität!$I34/100</f>
        <v>0</v>
      </c>
      <c r="N24" s="828">
        <f>N14*Rentabilität!$I34/100</f>
        <v>0</v>
      </c>
      <c r="O24" s="828">
        <f>O14*Rentabilität!$I34/100</f>
        <v>0</v>
      </c>
      <c r="P24" s="675">
        <f>SUM(D24:O24)</f>
        <v>0</v>
      </c>
      <c r="Q24" s="656" t="str">
        <f>IF(AND(ABS(P24-C24)&gt;50,P24&lt;&gt;0),"Überprüfe Eintragung","")</f>
        <v/>
      </c>
      <c r="R24" s="630"/>
      <c r="S24" s="630"/>
      <c r="T24" s="630"/>
      <c r="U24" s="630"/>
      <c r="V24" s="630"/>
      <c r="W24" s="630"/>
      <c r="X24" s="630"/>
      <c r="Y24" s="630"/>
      <c r="Z24" s="630"/>
      <c r="AA24" s="630"/>
      <c r="AB24" s="630"/>
      <c r="AC24" s="630"/>
      <c r="AD24" s="630"/>
      <c r="AE24" s="630"/>
      <c r="AF24" s="630"/>
      <c r="AG24" s="630"/>
      <c r="AH24" s="630"/>
    </row>
    <row r="25" spans="1:34" s="1" customFormat="1" ht="15.75" customHeight="1">
      <c r="A25" s="657" t="s">
        <v>83</v>
      </c>
      <c r="B25" s="730" t="s">
        <v>81</v>
      </c>
      <c r="C25" s="659">
        <f>Rentabilität!H23</f>
        <v>0</v>
      </c>
      <c r="D25" s="828">
        <f>D14*Rentabilität!$I23/100</f>
        <v>0</v>
      </c>
      <c r="E25" s="828">
        <f>E14*Rentabilität!$I23/100</f>
        <v>0</v>
      </c>
      <c r="F25" s="828">
        <f>F14*Rentabilität!$I23/100</f>
        <v>0</v>
      </c>
      <c r="G25" s="828">
        <f>G14*Rentabilität!$I23/100</f>
        <v>0</v>
      </c>
      <c r="H25" s="828">
        <f>H14*Rentabilität!$I23/100</f>
        <v>0</v>
      </c>
      <c r="I25" s="828">
        <f>I14*Rentabilität!$I23/100</f>
        <v>0</v>
      </c>
      <c r="J25" s="828">
        <f>J14*Rentabilität!$I23/100</f>
        <v>0</v>
      </c>
      <c r="K25" s="828">
        <f>K14*Rentabilität!$I23/100</f>
        <v>0</v>
      </c>
      <c r="L25" s="828">
        <f>L14*Rentabilität!$I23/100</f>
        <v>0</v>
      </c>
      <c r="M25" s="828">
        <f>M14*Rentabilität!$I23/100</f>
        <v>0</v>
      </c>
      <c r="N25" s="828">
        <f>N14*Rentabilität!$I23/100</f>
        <v>0</v>
      </c>
      <c r="O25" s="828">
        <f>O14*Rentabilität!$I23/100</f>
        <v>0</v>
      </c>
      <c r="P25" s="675">
        <f>SUM(D25:O25)</f>
        <v>0</v>
      </c>
      <c r="Q25" s="656" t="str">
        <f t="shared" ref="Q25:Q39" si="4">IF(AND(ABS(P25-C25)&gt;50,P25&lt;&gt;0),"Überprüfe Eintragung","")</f>
        <v/>
      </c>
      <c r="R25" s="630"/>
      <c r="S25" s="630"/>
      <c r="T25" s="630"/>
      <c r="U25" s="630"/>
      <c r="V25" s="630"/>
      <c r="W25" s="630"/>
      <c r="X25" s="630"/>
      <c r="Y25" s="630"/>
      <c r="Z25" s="630"/>
      <c r="AA25" s="630"/>
      <c r="AB25" s="630"/>
      <c r="AC25" s="630"/>
      <c r="AD25" s="630"/>
      <c r="AE25" s="630"/>
      <c r="AF25" s="630"/>
      <c r="AG25" s="630"/>
      <c r="AH25" s="630"/>
    </row>
    <row r="26" spans="1:34" s="1" customFormat="1" ht="15.75" customHeight="1">
      <c r="A26" s="670" t="s">
        <v>123</v>
      </c>
      <c r="B26" s="733" t="s">
        <v>80</v>
      </c>
      <c r="C26" s="672">
        <f>Rentabilität!H36</f>
        <v>0</v>
      </c>
      <c r="D26" s="829">
        <f>Hilfstabelle!B62</f>
        <v>0</v>
      </c>
      <c r="E26" s="829">
        <f>Hilfstabelle!C62</f>
        <v>0</v>
      </c>
      <c r="F26" s="829">
        <f>Hilfstabelle!D62</f>
        <v>0</v>
      </c>
      <c r="G26" s="829">
        <f>Hilfstabelle!E62</f>
        <v>0</v>
      </c>
      <c r="H26" s="829">
        <f>Hilfstabelle!F62</f>
        <v>0</v>
      </c>
      <c r="I26" s="829">
        <f>Hilfstabelle!G62</f>
        <v>0</v>
      </c>
      <c r="J26" s="829">
        <f>Hilfstabelle!H62</f>
        <v>0</v>
      </c>
      <c r="K26" s="829">
        <f>Hilfstabelle!I62</f>
        <v>0</v>
      </c>
      <c r="L26" s="829">
        <f>Hilfstabelle!J62</f>
        <v>0</v>
      </c>
      <c r="M26" s="829">
        <f>Hilfstabelle!K62</f>
        <v>0</v>
      </c>
      <c r="N26" s="829">
        <f>Hilfstabelle!L62</f>
        <v>0</v>
      </c>
      <c r="O26" s="829">
        <f>Hilfstabelle!M62</f>
        <v>0</v>
      </c>
      <c r="P26" s="675">
        <f t="shared" ref="P26:P54" si="5">SUM(D26:O26)</f>
        <v>0</v>
      </c>
      <c r="Q26" s="656" t="str">
        <f t="shared" si="4"/>
        <v/>
      </c>
      <c r="R26" s="630"/>
      <c r="S26" s="630"/>
      <c r="T26" s="630"/>
      <c r="U26" s="630"/>
      <c r="V26" s="630"/>
      <c r="W26" s="630"/>
      <c r="X26" s="630"/>
      <c r="Y26" s="630"/>
      <c r="Z26" s="630"/>
      <c r="AA26" s="630"/>
      <c r="AB26" s="630"/>
      <c r="AC26" s="630"/>
      <c r="AD26" s="630"/>
      <c r="AE26" s="630"/>
      <c r="AF26" s="630"/>
      <c r="AG26" s="630"/>
      <c r="AH26" s="630"/>
    </row>
    <row r="27" spans="1:34" s="1" customFormat="1" ht="15.75" customHeight="1">
      <c r="A27" s="657" t="str">
        <f>'übrige Kosten'!A10</f>
        <v>Raumkosten (Miete, Pacht)</v>
      </c>
      <c r="B27" s="879" t="str">
        <f>'Liquiditätsplan-1.Jahr'!B27</f>
        <v>nein</v>
      </c>
      <c r="C27" s="659">
        <f>IF('übrige Kosten'!E10="",0,'übrige Kosten'!E10)</f>
        <v>0</v>
      </c>
      <c r="D27" s="828">
        <f>Hilfstabelle!B160</f>
        <v>0</v>
      </c>
      <c r="E27" s="828">
        <f>Hilfstabelle!C160</f>
        <v>0</v>
      </c>
      <c r="F27" s="828">
        <f>Hilfstabelle!D160</f>
        <v>0</v>
      </c>
      <c r="G27" s="828">
        <f>Hilfstabelle!E160</f>
        <v>0</v>
      </c>
      <c r="H27" s="828">
        <f>Hilfstabelle!F160</f>
        <v>0</v>
      </c>
      <c r="I27" s="828">
        <f>Hilfstabelle!G160</f>
        <v>0</v>
      </c>
      <c r="J27" s="828">
        <f>Hilfstabelle!H160</f>
        <v>0</v>
      </c>
      <c r="K27" s="828">
        <f>Hilfstabelle!I160</f>
        <v>0</v>
      </c>
      <c r="L27" s="828">
        <f>Hilfstabelle!J160</f>
        <v>0</v>
      </c>
      <c r="M27" s="828">
        <f>Hilfstabelle!K160</f>
        <v>0</v>
      </c>
      <c r="N27" s="828">
        <f>Hilfstabelle!L160</f>
        <v>0</v>
      </c>
      <c r="O27" s="828">
        <f>Hilfstabelle!M160</f>
        <v>0</v>
      </c>
      <c r="P27" s="675">
        <f t="shared" si="5"/>
        <v>0</v>
      </c>
      <c r="Q27" s="656" t="str">
        <f t="shared" si="4"/>
        <v/>
      </c>
      <c r="R27" s="630"/>
      <c r="S27" s="630"/>
      <c r="T27" s="630"/>
      <c r="U27" s="630"/>
      <c r="V27" s="630"/>
      <c r="W27" s="630"/>
      <c r="X27" s="630"/>
      <c r="Y27" s="630"/>
      <c r="Z27" s="630"/>
      <c r="AA27" s="630"/>
      <c r="AB27" s="630"/>
      <c r="AC27" s="630"/>
      <c r="AD27" s="630"/>
      <c r="AE27" s="630"/>
      <c r="AF27" s="630"/>
      <c r="AG27" s="630"/>
      <c r="AH27" s="630"/>
    </row>
    <row r="28" spans="1:34" s="1" customFormat="1" ht="15.75" customHeight="1">
      <c r="A28" s="657" t="str">
        <f>'übrige Kosten'!A11</f>
        <v>Energiekosten (Strom, Heizung, Wasser)</v>
      </c>
      <c r="B28" s="730" t="s">
        <v>81</v>
      </c>
      <c r="C28" s="659">
        <f>IF('übrige Kosten'!E11="",0,'übrige Kosten'!E11)</f>
        <v>0</v>
      </c>
      <c r="D28" s="828">
        <f>Hilfstabelle!B161</f>
        <v>0</v>
      </c>
      <c r="E28" s="828">
        <f>Hilfstabelle!C161</f>
        <v>0</v>
      </c>
      <c r="F28" s="828">
        <f>Hilfstabelle!D161</f>
        <v>0</v>
      </c>
      <c r="G28" s="828">
        <f>Hilfstabelle!E161</f>
        <v>0</v>
      </c>
      <c r="H28" s="828">
        <f>Hilfstabelle!F161</f>
        <v>0</v>
      </c>
      <c r="I28" s="828">
        <f>Hilfstabelle!G161</f>
        <v>0</v>
      </c>
      <c r="J28" s="828">
        <f>Hilfstabelle!H161</f>
        <v>0</v>
      </c>
      <c r="K28" s="828">
        <f>Hilfstabelle!I161</f>
        <v>0</v>
      </c>
      <c r="L28" s="828">
        <f>Hilfstabelle!J161</f>
        <v>0</v>
      </c>
      <c r="M28" s="828">
        <f>Hilfstabelle!K161</f>
        <v>0</v>
      </c>
      <c r="N28" s="828">
        <f>Hilfstabelle!L161</f>
        <v>0</v>
      </c>
      <c r="O28" s="828">
        <f>Hilfstabelle!M161</f>
        <v>0</v>
      </c>
      <c r="P28" s="675">
        <f t="shared" si="5"/>
        <v>0</v>
      </c>
      <c r="Q28" s="656" t="str">
        <f t="shared" si="4"/>
        <v/>
      </c>
      <c r="R28" s="630"/>
      <c r="S28" s="630"/>
      <c r="T28" s="630"/>
      <c r="U28" s="630"/>
      <c r="V28" s="630"/>
      <c r="W28" s="630"/>
      <c r="X28" s="630"/>
      <c r="Y28" s="630"/>
      <c r="Z28" s="630"/>
      <c r="AA28" s="630"/>
      <c r="AB28" s="630"/>
      <c r="AC28" s="630"/>
      <c r="AD28" s="630"/>
      <c r="AE28" s="630"/>
      <c r="AF28" s="630"/>
      <c r="AG28" s="630"/>
      <c r="AH28" s="630"/>
    </row>
    <row r="29" spans="1:34" s="1" customFormat="1" ht="15.75" customHeight="1">
      <c r="A29" s="657" t="str">
        <f>'übrige Kosten'!A12</f>
        <v>Versicherung, Beiträge</v>
      </c>
      <c r="B29" s="730" t="s">
        <v>80</v>
      </c>
      <c r="C29" s="659">
        <f>IF('übrige Kosten'!E12="",0,'übrige Kosten'!E12)</f>
        <v>0</v>
      </c>
      <c r="D29" s="828">
        <f>Hilfstabelle!B162</f>
        <v>0</v>
      </c>
      <c r="E29" s="828">
        <f>Hilfstabelle!C162</f>
        <v>0</v>
      </c>
      <c r="F29" s="828">
        <f>Hilfstabelle!D162</f>
        <v>0</v>
      </c>
      <c r="G29" s="828">
        <f>Hilfstabelle!E162</f>
        <v>0</v>
      </c>
      <c r="H29" s="828">
        <f>Hilfstabelle!F162</f>
        <v>0</v>
      </c>
      <c r="I29" s="828">
        <f>Hilfstabelle!G162</f>
        <v>0</v>
      </c>
      <c r="J29" s="828">
        <f>Hilfstabelle!H162</f>
        <v>0</v>
      </c>
      <c r="K29" s="828">
        <f>Hilfstabelle!I162</f>
        <v>0</v>
      </c>
      <c r="L29" s="828">
        <f>Hilfstabelle!J162</f>
        <v>0</v>
      </c>
      <c r="M29" s="828">
        <f>Hilfstabelle!K162</f>
        <v>0</v>
      </c>
      <c r="N29" s="828">
        <f>Hilfstabelle!L162</f>
        <v>0</v>
      </c>
      <c r="O29" s="828">
        <f>Hilfstabelle!M162</f>
        <v>0</v>
      </c>
      <c r="P29" s="675">
        <f t="shared" si="5"/>
        <v>0</v>
      </c>
      <c r="Q29" s="656" t="str">
        <f t="shared" si="4"/>
        <v/>
      </c>
      <c r="R29" s="630"/>
      <c r="S29" s="630"/>
      <c r="T29" s="630"/>
      <c r="U29" s="630"/>
      <c r="V29" s="630"/>
      <c r="W29" s="630"/>
      <c r="X29" s="630"/>
      <c r="Y29" s="630"/>
      <c r="Z29" s="630"/>
      <c r="AA29" s="630"/>
      <c r="AB29" s="630"/>
      <c r="AC29" s="630"/>
      <c r="AD29" s="630"/>
      <c r="AE29" s="630"/>
      <c r="AF29" s="630"/>
      <c r="AG29" s="630"/>
      <c r="AH29" s="630"/>
    </row>
    <row r="30" spans="1:34" s="1" customFormat="1" ht="15.75" customHeight="1">
      <c r="A30" s="657" t="str">
        <f>'übrige Kosten'!A13</f>
        <v>Kfz-Kosten (incl. Leasing, Steuern, Vers., Rep., ohne AfA)</v>
      </c>
      <c r="B30" s="730" t="s">
        <v>81</v>
      </c>
      <c r="C30" s="659">
        <f>IF('übrige Kosten'!E13="",0,'übrige Kosten'!E13)</f>
        <v>0</v>
      </c>
      <c r="D30" s="828">
        <f>Hilfstabelle!B163</f>
        <v>0</v>
      </c>
      <c r="E30" s="828">
        <f>Hilfstabelle!C163</f>
        <v>0</v>
      </c>
      <c r="F30" s="828">
        <f>Hilfstabelle!D163</f>
        <v>0</v>
      </c>
      <c r="G30" s="828">
        <f>Hilfstabelle!E163</f>
        <v>0</v>
      </c>
      <c r="H30" s="828">
        <f>Hilfstabelle!F163</f>
        <v>0</v>
      </c>
      <c r="I30" s="828">
        <f>Hilfstabelle!G163</f>
        <v>0</v>
      </c>
      <c r="J30" s="828">
        <f>Hilfstabelle!H163</f>
        <v>0</v>
      </c>
      <c r="K30" s="828">
        <f>Hilfstabelle!I163</f>
        <v>0</v>
      </c>
      <c r="L30" s="828">
        <f>Hilfstabelle!J163</f>
        <v>0</v>
      </c>
      <c r="M30" s="828">
        <f>Hilfstabelle!K163</f>
        <v>0</v>
      </c>
      <c r="N30" s="828">
        <f>Hilfstabelle!L163</f>
        <v>0</v>
      </c>
      <c r="O30" s="828">
        <f>Hilfstabelle!M163</f>
        <v>0</v>
      </c>
      <c r="P30" s="675">
        <f t="shared" si="5"/>
        <v>0</v>
      </c>
      <c r="Q30" s="656" t="str">
        <f t="shared" si="4"/>
        <v/>
      </c>
      <c r="R30" s="630"/>
      <c r="S30" s="630"/>
      <c r="T30" s="630"/>
      <c r="U30" s="630"/>
      <c r="V30" s="630"/>
      <c r="W30" s="630"/>
      <c r="X30" s="630"/>
      <c r="Y30" s="630"/>
      <c r="Z30" s="630"/>
      <c r="AA30" s="630"/>
      <c r="AB30" s="630"/>
      <c r="AC30" s="630"/>
      <c r="AD30" s="630"/>
      <c r="AE30" s="630"/>
      <c r="AF30" s="630"/>
      <c r="AG30" s="630"/>
      <c r="AH30" s="630"/>
    </row>
    <row r="31" spans="1:34" s="1" customFormat="1" ht="15.75" customHeight="1">
      <c r="A31" s="657" t="str">
        <f>'übrige Kosten'!A14</f>
        <v>Werbung  / Reisekosten</v>
      </c>
      <c r="B31" s="730" t="s">
        <v>81</v>
      </c>
      <c r="C31" s="659">
        <f>IF('übrige Kosten'!E14="",0,'übrige Kosten'!E14)</f>
        <v>0</v>
      </c>
      <c r="D31" s="828">
        <f>Hilfstabelle!B164</f>
        <v>0</v>
      </c>
      <c r="E31" s="828">
        <f>Hilfstabelle!C164</f>
        <v>0</v>
      </c>
      <c r="F31" s="828">
        <f>Hilfstabelle!D164</f>
        <v>0</v>
      </c>
      <c r="G31" s="828">
        <f>Hilfstabelle!E164</f>
        <v>0</v>
      </c>
      <c r="H31" s="828">
        <f>Hilfstabelle!F164</f>
        <v>0</v>
      </c>
      <c r="I31" s="828">
        <f>Hilfstabelle!G164</f>
        <v>0</v>
      </c>
      <c r="J31" s="828">
        <f>Hilfstabelle!H164</f>
        <v>0</v>
      </c>
      <c r="K31" s="828">
        <f>Hilfstabelle!I164</f>
        <v>0</v>
      </c>
      <c r="L31" s="828">
        <f>Hilfstabelle!J164</f>
        <v>0</v>
      </c>
      <c r="M31" s="828">
        <f>Hilfstabelle!K164</f>
        <v>0</v>
      </c>
      <c r="N31" s="828">
        <f>Hilfstabelle!L164</f>
        <v>0</v>
      </c>
      <c r="O31" s="828">
        <f>Hilfstabelle!M164</f>
        <v>0</v>
      </c>
      <c r="P31" s="675">
        <f t="shared" si="5"/>
        <v>0</v>
      </c>
      <c r="Q31" s="656" t="str">
        <f t="shared" si="4"/>
        <v/>
      </c>
      <c r="R31" s="630"/>
      <c r="S31" s="630"/>
      <c r="T31" s="630"/>
      <c r="U31" s="630"/>
      <c r="V31" s="630"/>
      <c r="W31" s="630"/>
      <c r="X31" s="630"/>
      <c r="Y31" s="630"/>
      <c r="Z31" s="630"/>
      <c r="AA31" s="630"/>
      <c r="AB31" s="630"/>
      <c r="AC31" s="630"/>
      <c r="AD31" s="630"/>
      <c r="AE31" s="630"/>
      <c r="AF31" s="630"/>
      <c r="AG31" s="630"/>
      <c r="AH31" s="630"/>
    </row>
    <row r="32" spans="1:34" s="1" customFormat="1" ht="15.75" customHeight="1">
      <c r="A32" s="657" t="str">
        <f>'übrige Kosten'!A15</f>
        <v>Kosten der Warenabgabe (incl.  Gewährleistungen)</v>
      </c>
      <c r="B32" s="730" t="s">
        <v>81</v>
      </c>
      <c r="C32" s="659">
        <f>IF('übrige Kosten'!E15="",0,'übrige Kosten'!E15)</f>
        <v>0</v>
      </c>
      <c r="D32" s="828">
        <f>Hilfstabelle!B165</f>
        <v>0</v>
      </c>
      <c r="E32" s="828">
        <f>Hilfstabelle!C165</f>
        <v>0</v>
      </c>
      <c r="F32" s="828">
        <f>Hilfstabelle!D165</f>
        <v>0</v>
      </c>
      <c r="G32" s="828">
        <f>Hilfstabelle!E165</f>
        <v>0</v>
      </c>
      <c r="H32" s="828">
        <f>Hilfstabelle!F165</f>
        <v>0</v>
      </c>
      <c r="I32" s="828">
        <f>Hilfstabelle!G165</f>
        <v>0</v>
      </c>
      <c r="J32" s="828">
        <f>Hilfstabelle!H165</f>
        <v>0</v>
      </c>
      <c r="K32" s="828">
        <f>Hilfstabelle!I165</f>
        <v>0</v>
      </c>
      <c r="L32" s="828">
        <f>Hilfstabelle!J165</f>
        <v>0</v>
      </c>
      <c r="M32" s="828">
        <f>Hilfstabelle!K165</f>
        <v>0</v>
      </c>
      <c r="N32" s="828">
        <f>Hilfstabelle!L165</f>
        <v>0</v>
      </c>
      <c r="O32" s="828">
        <f>Hilfstabelle!M165</f>
        <v>0</v>
      </c>
      <c r="P32" s="675">
        <f t="shared" si="5"/>
        <v>0</v>
      </c>
      <c r="Q32" s="656" t="str">
        <f t="shared" si="4"/>
        <v/>
      </c>
      <c r="R32" s="630"/>
      <c r="S32" s="630"/>
      <c r="T32" s="630"/>
      <c r="U32" s="630"/>
      <c r="V32" s="630"/>
      <c r="W32" s="630"/>
      <c r="X32" s="630"/>
      <c r="Y32" s="630"/>
      <c r="Z32" s="630"/>
      <c r="AA32" s="630"/>
      <c r="AB32" s="630"/>
      <c r="AC32" s="630"/>
      <c r="AD32" s="630"/>
      <c r="AE32" s="630"/>
      <c r="AF32" s="630"/>
      <c r="AG32" s="630"/>
      <c r="AH32" s="630"/>
    </row>
    <row r="33" spans="1:34" s="1" customFormat="1" ht="15.75" customHeight="1">
      <c r="A33" s="657" t="str">
        <f>'übrige Kosten'!A17</f>
        <v>Reparaturen, Instandhaltung</v>
      </c>
      <c r="B33" s="730" t="s">
        <v>81</v>
      </c>
      <c r="C33" s="659">
        <f>IF('übrige Kosten'!E17="",0,'übrige Kosten'!E17)</f>
        <v>0</v>
      </c>
      <c r="D33" s="828">
        <f>Hilfstabelle!B166</f>
        <v>0</v>
      </c>
      <c r="E33" s="828">
        <f>Hilfstabelle!C166</f>
        <v>0</v>
      </c>
      <c r="F33" s="828">
        <f>Hilfstabelle!D166</f>
        <v>0</v>
      </c>
      <c r="G33" s="828">
        <f>Hilfstabelle!E166</f>
        <v>0</v>
      </c>
      <c r="H33" s="828">
        <f>Hilfstabelle!F166</f>
        <v>0</v>
      </c>
      <c r="I33" s="828">
        <f>Hilfstabelle!G166</f>
        <v>0</v>
      </c>
      <c r="J33" s="828">
        <f>Hilfstabelle!H166</f>
        <v>0</v>
      </c>
      <c r="K33" s="828">
        <f>Hilfstabelle!I166</f>
        <v>0</v>
      </c>
      <c r="L33" s="828">
        <f>Hilfstabelle!J166</f>
        <v>0</v>
      </c>
      <c r="M33" s="828">
        <f>Hilfstabelle!K166</f>
        <v>0</v>
      </c>
      <c r="N33" s="828">
        <f>Hilfstabelle!L166</f>
        <v>0</v>
      </c>
      <c r="O33" s="828">
        <f>Hilfstabelle!M166</f>
        <v>0</v>
      </c>
      <c r="P33" s="675">
        <f t="shared" si="5"/>
        <v>0</v>
      </c>
      <c r="Q33" s="656" t="str">
        <f t="shared" si="4"/>
        <v/>
      </c>
      <c r="R33" s="630"/>
      <c r="S33" s="630"/>
      <c r="T33" s="630"/>
      <c r="U33" s="630"/>
      <c r="V33" s="630"/>
      <c r="W33" s="630"/>
      <c r="X33" s="630"/>
      <c r="Y33" s="630"/>
      <c r="Z33" s="630"/>
      <c r="AA33" s="630"/>
      <c r="AB33" s="630"/>
      <c r="AC33" s="630"/>
      <c r="AD33" s="630"/>
      <c r="AE33" s="630"/>
      <c r="AF33" s="630"/>
      <c r="AG33" s="630"/>
      <c r="AH33" s="630"/>
    </row>
    <row r="34" spans="1:34" s="1" customFormat="1" ht="15.75" customHeight="1" outlineLevel="1">
      <c r="A34" s="657" t="str">
        <f>'übrige Kosten'!A18</f>
        <v>Büro (Telefon, Telefax, Internet)</v>
      </c>
      <c r="B34" s="730" t="s">
        <v>81</v>
      </c>
      <c r="C34" s="659">
        <f>IF('übrige Kosten'!E18="",0,'übrige Kosten'!E18)</f>
        <v>0</v>
      </c>
      <c r="D34" s="828">
        <f>Hilfstabelle!B167</f>
        <v>0</v>
      </c>
      <c r="E34" s="828">
        <f>Hilfstabelle!C167</f>
        <v>0</v>
      </c>
      <c r="F34" s="828">
        <f>Hilfstabelle!D167</f>
        <v>0</v>
      </c>
      <c r="G34" s="828">
        <f>Hilfstabelle!E167</f>
        <v>0</v>
      </c>
      <c r="H34" s="828">
        <f>Hilfstabelle!F167</f>
        <v>0</v>
      </c>
      <c r="I34" s="828">
        <f>Hilfstabelle!G167</f>
        <v>0</v>
      </c>
      <c r="J34" s="828">
        <f>Hilfstabelle!H167</f>
        <v>0</v>
      </c>
      <c r="K34" s="828">
        <f>Hilfstabelle!I167</f>
        <v>0</v>
      </c>
      <c r="L34" s="828">
        <f>Hilfstabelle!J167</f>
        <v>0</v>
      </c>
      <c r="M34" s="828">
        <f>Hilfstabelle!K167</f>
        <v>0</v>
      </c>
      <c r="N34" s="828">
        <f>Hilfstabelle!L167</f>
        <v>0</v>
      </c>
      <c r="O34" s="828">
        <f>Hilfstabelle!M167</f>
        <v>0</v>
      </c>
      <c r="P34" s="675">
        <f t="shared" si="5"/>
        <v>0</v>
      </c>
      <c r="Q34" s="656" t="str">
        <f t="shared" si="4"/>
        <v/>
      </c>
      <c r="R34" s="630"/>
      <c r="S34" s="630"/>
      <c r="T34" s="630"/>
      <c r="U34" s="630"/>
      <c r="V34" s="630"/>
      <c r="W34" s="630"/>
      <c r="X34" s="630"/>
      <c r="Y34" s="630"/>
      <c r="Z34" s="630"/>
      <c r="AA34" s="630"/>
      <c r="AB34" s="630"/>
      <c r="AC34" s="630"/>
      <c r="AD34" s="630"/>
      <c r="AE34" s="630"/>
      <c r="AF34" s="630"/>
      <c r="AG34" s="630"/>
      <c r="AH34" s="630"/>
    </row>
    <row r="35" spans="1:34" s="1" customFormat="1" ht="15.75" customHeight="1" outlineLevel="1">
      <c r="A35" s="657" t="str">
        <f>'übrige Kosten'!A19</f>
        <v>Büro (Porto, Zeitschriften, sonst. Bürobedarf)</v>
      </c>
      <c r="B35" s="730" t="s">
        <v>81</v>
      </c>
      <c r="C35" s="659">
        <f>IF('übrige Kosten'!E19="",0,'übrige Kosten'!E19)</f>
        <v>0</v>
      </c>
      <c r="D35" s="828">
        <f>Hilfstabelle!B168</f>
        <v>0</v>
      </c>
      <c r="E35" s="828">
        <f>Hilfstabelle!C168</f>
        <v>0</v>
      </c>
      <c r="F35" s="828">
        <f>Hilfstabelle!D168</f>
        <v>0</v>
      </c>
      <c r="G35" s="828">
        <f>Hilfstabelle!E168</f>
        <v>0</v>
      </c>
      <c r="H35" s="828">
        <f>Hilfstabelle!F168</f>
        <v>0</v>
      </c>
      <c r="I35" s="828">
        <f>Hilfstabelle!G168</f>
        <v>0</v>
      </c>
      <c r="J35" s="828">
        <f>Hilfstabelle!H168</f>
        <v>0</v>
      </c>
      <c r="K35" s="828">
        <f>Hilfstabelle!I168</f>
        <v>0</v>
      </c>
      <c r="L35" s="828">
        <f>Hilfstabelle!J168</f>
        <v>0</v>
      </c>
      <c r="M35" s="828">
        <f>Hilfstabelle!K168</f>
        <v>0</v>
      </c>
      <c r="N35" s="828">
        <f>Hilfstabelle!L168</f>
        <v>0</v>
      </c>
      <c r="O35" s="828">
        <f>Hilfstabelle!M168</f>
        <v>0</v>
      </c>
      <c r="P35" s="675">
        <f t="shared" si="5"/>
        <v>0</v>
      </c>
      <c r="Q35" s="656" t="str">
        <f t="shared" si="4"/>
        <v/>
      </c>
      <c r="R35" s="630"/>
      <c r="S35" s="630"/>
      <c r="T35" s="630"/>
      <c r="U35" s="630"/>
      <c r="V35" s="630"/>
      <c r="W35" s="630"/>
      <c r="X35" s="630"/>
      <c r="Y35" s="630"/>
      <c r="Z35" s="630"/>
      <c r="AA35" s="630"/>
      <c r="AB35" s="630"/>
      <c r="AC35" s="630"/>
      <c r="AD35" s="630"/>
      <c r="AE35" s="630"/>
      <c r="AF35" s="630"/>
      <c r="AG35" s="630"/>
      <c r="AH35" s="630"/>
    </row>
    <row r="36" spans="1:34" s="1" customFormat="1" ht="15.75" customHeight="1" outlineLevel="1">
      <c r="A36" s="657" t="str">
        <f>'übrige Kosten'!A20</f>
        <v>Buchführung und Abschlusskosten / Beratungskosten</v>
      </c>
      <c r="B36" s="730" t="s">
        <v>81</v>
      </c>
      <c r="C36" s="659">
        <f>IF('übrige Kosten'!E20="",0,'übrige Kosten'!E20)</f>
        <v>0</v>
      </c>
      <c r="D36" s="828">
        <f>Hilfstabelle!B169</f>
        <v>0</v>
      </c>
      <c r="E36" s="828">
        <f>Hilfstabelle!C169</f>
        <v>0</v>
      </c>
      <c r="F36" s="828">
        <f>Hilfstabelle!D169</f>
        <v>0</v>
      </c>
      <c r="G36" s="828">
        <f>Hilfstabelle!E169</f>
        <v>0</v>
      </c>
      <c r="H36" s="828">
        <f>Hilfstabelle!F169</f>
        <v>0</v>
      </c>
      <c r="I36" s="828">
        <f>Hilfstabelle!G169</f>
        <v>0</v>
      </c>
      <c r="J36" s="828">
        <f>Hilfstabelle!H169</f>
        <v>0</v>
      </c>
      <c r="K36" s="828">
        <f>Hilfstabelle!I169</f>
        <v>0</v>
      </c>
      <c r="L36" s="828">
        <f>Hilfstabelle!J169</f>
        <v>0</v>
      </c>
      <c r="M36" s="828">
        <f>Hilfstabelle!K169</f>
        <v>0</v>
      </c>
      <c r="N36" s="828">
        <f>Hilfstabelle!L169</f>
        <v>0</v>
      </c>
      <c r="O36" s="828">
        <f>Hilfstabelle!M169</f>
        <v>0</v>
      </c>
      <c r="P36" s="675">
        <f t="shared" si="5"/>
        <v>0</v>
      </c>
      <c r="Q36" s="656" t="str">
        <f t="shared" si="4"/>
        <v/>
      </c>
      <c r="R36" s="630"/>
      <c r="S36" s="630"/>
      <c r="T36" s="630"/>
      <c r="U36" s="630"/>
      <c r="V36" s="630"/>
      <c r="W36" s="630"/>
      <c r="X36" s="630"/>
      <c r="Y36" s="630"/>
      <c r="Z36" s="630"/>
      <c r="AA36" s="630"/>
      <c r="AB36" s="630"/>
      <c r="AC36" s="630"/>
      <c r="AD36" s="630"/>
      <c r="AE36" s="630"/>
      <c r="AF36" s="630"/>
      <c r="AG36" s="630"/>
      <c r="AH36" s="630"/>
    </row>
    <row r="37" spans="1:34" s="1" customFormat="1" ht="15.75" customHeight="1" outlineLevel="1">
      <c r="A37" s="657" t="str">
        <f>'übrige Kosten'!A21</f>
        <v>Miete / Leasing (ohne Kfz) für bewegliche Wirtschaftsgüter</v>
      </c>
      <c r="B37" s="730" t="s">
        <v>81</v>
      </c>
      <c r="C37" s="659">
        <f>IF('übrige Kosten'!E21="",0,'übrige Kosten'!E21)</f>
        <v>0</v>
      </c>
      <c r="D37" s="828">
        <f>Hilfstabelle!B170</f>
        <v>0</v>
      </c>
      <c r="E37" s="828">
        <f>Hilfstabelle!C170</f>
        <v>0</v>
      </c>
      <c r="F37" s="828">
        <f>Hilfstabelle!D170</f>
        <v>0</v>
      </c>
      <c r="G37" s="828">
        <f>Hilfstabelle!E170</f>
        <v>0</v>
      </c>
      <c r="H37" s="828">
        <f>Hilfstabelle!F170</f>
        <v>0</v>
      </c>
      <c r="I37" s="828">
        <f>Hilfstabelle!G170</f>
        <v>0</v>
      </c>
      <c r="J37" s="828">
        <f>Hilfstabelle!H170</f>
        <v>0</v>
      </c>
      <c r="K37" s="828">
        <f>Hilfstabelle!I170</f>
        <v>0</v>
      </c>
      <c r="L37" s="828">
        <f>Hilfstabelle!J170</f>
        <v>0</v>
      </c>
      <c r="M37" s="828">
        <f>Hilfstabelle!K170</f>
        <v>0</v>
      </c>
      <c r="N37" s="828">
        <f>Hilfstabelle!L170</f>
        <v>0</v>
      </c>
      <c r="O37" s="828">
        <f>Hilfstabelle!M170</f>
        <v>0</v>
      </c>
      <c r="P37" s="675">
        <f t="shared" si="5"/>
        <v>0</v>
      </c>
      <c r="Q37" s="656" t="str">
        <f t="shared" si="4"/>
        <v/>
      </c>
      <c r="R37" s="630"/>
      <c r="S37" s="630"/>
      <c r="T37" s="630"/>
      <c r="U37" s="630"/>
      <c r="V37" s="630"/>
      <c r="W37" s="630"/>
      <c r="X37" s="630"/>
      <c r="Y37" s="630"/>
      <c r="Z37" s="630"/>
      <c r="AA37" s="630"/>
      <c r="AB37" s="630"/>
      <c r="AC37" s="630"/>
      <c r="AD37" s="630"/>
      <c r="AE37" s="630"/>
      <c r="AF37" s="630"/>
      <c r="AG37" s="630"/>
      <c r="AH37" s="630"/>
    </row>
    <row r="38" spans="1:34" s="1" customFormat="1" ht="15.75" customHeight="1" outlineLevel="1">
      <c r="A38" s="657" t="str">
        <f>'übrige Kosten'!A22</f>
        <v>Abraum - und Abfallbeseitigung</v>
      </c>
      <c r="B38" s="730" t="s">
        <v>81</v>
      </c>
      <c r="C38" s="659">
        <f>IF('übrige Kosten'!E22="",0,'übrige Kosten'!E22)</f>
        <v>0</v>
      </c>
      <c r="D38" s="828">
        <f>Hilfstabelle!B171</f>
        <v>0</v>
      </c>
      <c r="E38" s="828">
        <f>Hilfstabelle!C171</f>
        <v>0</v>
      </c>
      <c r="F38" s="828">
        <f>Hilfstabelle!D171</f>
        <v>0</v>
      </c>
      <c r="G38" s="828">
        <f>Hilfstabelle!E171</f>
        <v>0</v>
      </c>
      <c r="H38" s="828">
        <f>Hilfstabelle!F171</f>
        <v>0</v>
      </c>
      <c r="I38" s="828">
        <f>Hilfstabelle!G171</f>
        <v>0</v>
      </c>
      <c r="J38" s="828">
        <f>Hilfstabelle!H171</f>
        <v>0</v>
      </c>
      <c r="K38" s="828">
        <f>Hilfstabelle!I171</f>
        <v>0</v>
      </c>
      <c r="L38" s="828">
        <f>Hilfstabelle!J171</f>
        <v>0</v>
      </c>
      <c r="M38" s="828">
        <f>Hilfstabelle!K171</f>
        <v>0</v>
      </c>
      <c r="N38" s="828">
        <f>Hilfstabelle!L171</f>
        <v>0</v>
      </c>
      <c r="O38" s="828">
        <f>Hilfstabelle!M171</f>
        <v>0</v>
      </c>
      <c r="P38" s="675">
        <f t="shared" si="5"/>
        <v>0</v>
      </c>
      <c r="Q38" s="656" t="str">
        <f t="shared" si="4"/>
        <v/>
      </c>
      <c r="R38" s="630"/>
      <c r="S38" s="630"/>
      <c r="T38" s="630"/>
      <c r="U38" s="630"/>
      <c r="V38" s="630"/>
      <c r="W38" s="630"/>
      <c r="X38" s="630"/>
      <c r="Y38" s="630"/>
      <c r="Z38" s="630"/>
      <c r="AA38" s="630"/>
      <c r="AB38" s="630"/>
      <c r="AC38" s="630"/>
      <c r="AD38" s="630"/>
      <c r="AE38" s="630"/>
      <c r="AF38" s="630"/>
      <c r="AG38" s="630"/>
      <c r="AH38" s="630"/>
    </row>
    <row r="39" spans="1:34" s="1" customFormat="1" ht="15.75" customHeight="1" outlineLevel="1">
      <c r="A39" s="657" t="str">
        <f>'übrige Kosten'!A23</f>
        <v>Werkzeug und Kleingeräte GWG</v>
      </c>
      <c r="B39" s="730" t="s">
        <v>81</v>
      </c>
      <c r="C39" s="659">
        <f>IF('übrige Kosten'!E23="",0,'übrige Kosten'!E23)</f>
        <v>0</v>
      </c>
      <c r="D39" s="828">
        <f>Hilfstabelle!B172</f>
        <v>0</v>
      </c>
      <c r="E39" s="828">
        <f>Hilfstabelle!C172</f>
        <v>0</v>
      </c>
      <c r="F39" s="828">
        <f>Hilfstabelle!D172</f>
        <v>0</v>
      </c>
      <c r="G39" s="828">
        <f>Hilfstabelle!E172</f>
        <v>0</v>
      </c>
      <c r="H39" s="828">
        <f>Hilfstabelle!F172</f>
        <v>0</v>
      </c>
      <c r="I39" s="828">
        <f>Hilfstabelle!G172</f>
        <v>0</v>
      </c>
      <c r="J39" s="828">
        <f>Hilfstabelle!H172</f>
        <v>0</v>
      </c>
      <c r="K39" s="828">
        <f>Hilfstabelle!I172</f>
        <v>0</v>
      </c>
      <c r="L39" s="828">
        <f>Hilfstabelle!J172</f>
        <v>0</v>
      </c>
      <c r="M39" s="828">
        <f>Hilfstabelle!K172</f>
        <v>0</v>
      </c>
      <c r="N39" s="828">
        <f>Hilfstabelle!L172</f>
        <v>0</v>
      </c>
      <c r="O39" s="828">
        <f>Hilfstabelle!M172</f>
        <v>0</v>
      </c>
      <c r="P39" s="675">
        <f t="shared" si="5"/>
        <v>0</v>
      </c>
      <c r="Q39" s="656" t="str">
        <f t="shared" si="4"/>
        <v/>
      </c>
      <c r="R39" s="630"/>
      <c r="S39" s="630"/>
      <c r="T39" s="630"/>
      <c r="U39" s="630"/>
      <c r="V39" s="630"/>
      <c r="W39" s="630"/>
      <c r="X39" s="630"/>
      <c r="Y39" s="630"/>
      <c r="Z39" s="630"/>
      <c r="AA39" s="630"/>
      <c r="AB39" s="630"/>
      <c r="AC39" s="630"/>
      <c r="AD39" s="630"/>
      <c r="AE39" s="630"/>
      <c r="AF39" s="630"/>
      <c r="AG39" s="630"/>
      <c r="AH39" s="630"/>
    </row>
    <row r="40" spans="1:34" s="1" customFormat="1" ht="15.75" customHeight="1" outlineLevel="1">
      <c r="A40" s="657" t="str">
        <f>'übrige Kosten'!A24</f>
        <v>Betriebsbedarf</v>
      </c>
      <c r="B40" s="730" t="s">
        <v>81</v>
      </c>
      <c r="C40" s="659">
        <f>IF('übrige Kosten'!E24="",0,'übrige Kosten'!E24)</f>
        <v>0</v>
      </c>
      <c r="D40" s="828">
        <f>Hilfstabelle!B173</f>
        <v>0</v>
      </c>
      <c r="E40" s="828">
        <f>Hilfstabelle!C173</f>
        <v>0</v>
      </c>
      <c r="F40" s="828">
        <f>Hilfstabelle!D173</f>
        <v>0</v>
      </c>
      <c r="G40" s="828">
        <f>Hilfstabelle!E173</f>
        <v>0</v>
      </c>
      <c r="H40" s="828">
        <f>Hilfstabelle!F173</f>
        <v>0</v>
      </c>
      <c r="I40" s="828">
        <f>Hilfstabelle!G173</f>
        <v>0</v>
      </c>
      <c r="J40" s="828">
        <f>Hilfstabelle!H173</f>
        <v>0</v>
      </c>
      <c r="K40" s="828">
        <f>Hilfstabelle!I173</f>
        <v>0</v>
      </c>
      <c r="L40" s="828">
        <f>Hilfstabelle!J173</f>
        <v>0</v>
      </c>
      <c r="M40" s="828">
        <f>Hilfstabelle!K173</f>
        <v>0</v>
      </c>
      <c r="N40" s="828">
        <f>Hilfstabelle!L173</f>
        <v>0</v>
      </c>
      <c r="O40" s="828">
        <f>Hilfstabelle!M173</f>
        <v>0</v>
      </c>
      <c r="P40" s="675">
        <f t="shared" si="5"/>
        <v>0</v>
      </c>
      <c r="Q40" s="656" t="str">
        <f>IF(AND(ABS(P40-C40)&gt;50,P40&lt;&gt;0),"Überprüfe Eintragung","")</f>
        <v/>
      </c>
      <c r="R40" s="630"/>
      <c r="S40" s="630"/>
      <c r="T40" s="630"/>
      <c r="U40" s="630"/>
      <c r="V40" s="630"/>
      <c r="W40" s="630"/>
      <c r="X40" s="630"/>
      <c r="Y40" s="630"/>
      <c r="Z40" s="630"/>
      <c r="AA40" s="630"/>
      <c r="AB40" s="630"/>
      <c r="AC40" s="630"/>
      <c r="AD40" s="630"/>
      <c r="AE40" s="630"/>
      <c r="AF40" s="630"/>
      <c r="AG40" s="630"/>
      <c r="AH40" s="630"/>
    </row>
    <row r="41" spans="1:34" s="1" customFormat="1" ht="15.75" customHeight="1">
      <c r="A41" s="657" t="str">
        <f>'übrige Kosten'!A25</f>
        <v>langfristige Zinsen</v>
      </c>
      <c r="B41" s="730" t="s">
        <v>80</v>
      </c>
      <c r="C41" s="659">
        <f>IF('übrige Kosten'!E25="",0,'übrige Kosten'!E25)</f>
        <v>0</v>
      </c>
      <c r="D41" s="828">
        <f>Hilfstabelle!B134+'Zins und Tilgung'!$AG21/12+'Zins und Tilgung'!$AM17/12+'Zins und Tilgung'!$AR17/12</f>
        <v>0</v>
      </c>
      <c r="E41" s="828">
        <f>Hilfstabelle!C134+'Zins und Tilgung'!$AG21/12+'Zins und Tilgung'!$AM17/12+'Zins und Tilgung'!$AR17/12</f>
        <v>0</v>
      </c>
      <c r="F41" s="828">
        <f>Hilfstabelle!D134+'Zins und Tilgung'!$AG21/12+'Zins und Tilgung'!$AM17/12+'Zins und Tilgung'!$AR17/12</f>
        <v>0</v>
      </c>
      <c r="G41" s="828">
        <f>Hilfstabelle!E134+'Zins und Tilgung'!$AG21/12+'Zins und Tilgung'!$AM17/12+'Zins und Tilgung'!$AR17/12</f>
        <v>0</v>
      </c>
      <c r="H41" s="828">
        <f>Hilfstabelle!F134+'Zins und Tilgung'!$AG21/12+'Zins und Tilgung'!$AM17/12+'Zins und Tilgung'!$AR17/12</f>
        <v>0</v>
      </c>
      <c r="I41" s="828">
        <f>Hilfstabelle!G134+'Zins und Tilgung'!$AG21/12+'Zins und Tilgung'!$AM17/12+'Zins und Tilgung'!$AR17/12</f>
        <v>0</v>
      </c>
      <c r="J41" s="828">
        <f>Hilfstabelle!H134+'Zins und Tilgung'!$AG21/12+'Zins und Tilgung'!$AM17/12+'Zins und Tilgung'!$AR17/12</f>
        <v>0</v>
      </c>
      <c r="K41" s="828">
        <f>Hilfstabelle!I134+'Zins und Tilgung'!$AG21/12+'Zins und Tilgung'!$AM17/12+'Zins und Tilgung'!$AR17/12</f>
        <v>0</v>
      </c>
      <c r="L41" s="828">
        <f>Hilfstabelle!J134+'Zins und Tilgung'!$AG21/12+'Zins und Tilgung'!$AM17/12+'Zins und Tilgung'!$AR17/12</f>
        <v>0</v>
      </c>
      <c r="M41" s="828">
        <f>Hilfstabelle!K134+'Zins und Tilgung'!$AG21/12+'Zins und Tilgung'!$AM17/12+'Zins und Tilgung'!$AR17/12</f>
        <v>0</v>
      </c>
      <c r="N41" s="828">
        <f>Hilfstabelle!L134+'Zins und Tilgung'!$AG21/12+'Zins und Tilgung'!$AM17/12+'Zins und Tilgung'!$AR17/12</f>
        <v>0</v>
      </c>
      <c r="O41" s="828">
        <f>Hilfstabelle!M134+'Zins und Tilgung'!$AG21/12+'Zins und Tilgung'!$AM17/12+'Zins und Tilgung'!$AR17/12</f>
        <v>0</v>
      </c>
      <c r="P41" s="675">
        <f t="shared" si="5"/>
        <v>0</v>
      </c>
      <c r="Q41" s="656" t="str">
        <f t="shared" ref="Q41:Q49" si="6">IF(AND(ABS(P41-C41)&gt;50,P41&lt;&gt;0),"Überprüfe Eintragung","")</f>
        <v/>
      </c>
      <c r="R41" s="630"/>
      <c r="S41" s="630"/>
      <c r="T41" s="630"/>
      <c r="U41" s="630"/>
      <c r="V41" s="630"/>
      <c r="W41" s="630"/>
      <c r="X41" s="630"/>
      <c r="Y41" s="630"/>
      <c r="Z41" s="630"/>
      <c r="AA41" s="630"/>
      <c r="AB41" s="630"/>
      <c r="AC41" s="630"/>
      <c r="AD41" s="630"/>
      <c r="AE41" s="630"/>
      <c r="AF41" s="630"/>
      <c r="AG41" s="630"/>
      <c r="AH41" s="630"/>
    </row>
    <row r="42" spans="1:34" s="1" customFormat="1" ht="15.75" customHeight="1">
      <c r="A42" s="657" t="str">
        <f>'übrige Kosten'!A26</f>
        <v>kurzfristige Zinsen, Bankgebühren</v>
      </c>
      <c r="B42" s="730" t="s">
        <v>80</v>
      </c>
      <c r="C42" s="659">
        <f>IF('übrige Kosten'!E26="",0,'übrige Kosten'!E26)</f>
        <v>0</v>
      </c>
      <c r="D42" s="828">
        <f>$C42/12</f>
        <v>0</v>
      </c>
      <c r="E42" s="828">
        <f t="shared" ref="E42:O42" si="7">$C42/12</f>
        <v>0</v>
      </c>
      <c r="F42" s="828">
        <f t="shared" si="7"/>
        <v>0</v>
      </c>
      <c r="G42" s="828">
        <f t="shared" si="7"/>
        <v>0</v>
      </c>
      <c r="H42" s="828">
        <f t="shared" si="7"/>
        <v>0</v>
      </c>
      <c r="I42" s="828">
        <f t="shared" si="7"/>
        <v>0</v>
      </c>
      <c r="J42" s="828">
        <f t="shared" si="7"/>
        <v>0</v>
      </c>
      <c r="K42" s="828">
        <f t="shared" si="7"/>
        <v>0</v>
      </c>
      <c r="L42" s="828">
        <f t="shared" si="7"/>
        <v>0</v>
      </c>
      <c r="M42" s="828">
        <f t="shared" si="7"/>
        <v>0</v>
      </c>
      <c r="N42" s="828">
        <f t="shared" si="7"/>
        <v>0</v>
      </c>
      <c r="O42" s="828">
        <f t="shared" si="7"/>
        <v>0</v>
      </c>
      <c r="P42" s="675">
        <f t="shared" si="5"/>
        <v>0</v>
      </c>
      <c r="Q42" s="656" t="str">
        <f t="shared" si="6"/>
        <v/>
      </c>
      <c r="R42" s="630"/>
      <c r="S42" s="630"/>
      <c r="T42" s="630"/>
      <c r="U42" s="630"/>
      <c r="V42" s="630"/>
      <c r="W42" s="630"/>
      <c r="X42" s="630"/>
      <c r="Y42" s="630"/>
      <c r="Z42" s="630"/>
      <c r="AA42" s="630"/>
      <c r="AB42" s="630"/>
      <c r="AC42" s="630"/>
      <c r="AD42" s="630"/>
      <c r="AE42" s="630"/>
      <c r="AF42" s="630"/>
      <c r="AG42" s="630"/>
      <c r="AH42" s="630"/>
    </row>
    <row r="43" spans="1:34" s="1" customFormat="1" ht="15.75" customHeight="1">
      <c r="A43" s="657" t="str">
        <f>'übrige Kosten'!A27</f>
        <v>Sonstiges</v>
      </c>
      <c r="B43" s="730" t="s">
        <v>81</v>
      </c>
      <c r="C43" s="659">
        <f>IF(Hilfstabelle!P172+Hilfstabelle!P173+Hilfstabelle!P174&gt;0,Hilfstabelle!P172+Hilfstabelle!P173+Hilfstabelle!P174,0)</f>
        <v>0</v>
      </c>
      <c r="D43" s="828">
        <f>Hilfstabelle!B174</f>
        <v>0</v>
      </c>
      <c r="E43" s="828">
        <f>Hilfstabelle!C174</f>
        <v>0</v>
      </c>
      <c r="F43" s="828">
        <f>Hilfstabelle!D174</f>
        <v>0</v>
      </c>
      <c r="G43" s="828">
        <f>Hilfstabelle!E174</f>
        <v>0</v>
      </c>
      <c r="H43" s="828">
        <f>Hilfstabelle!F174</f>
        <v>0</v>
      </c>
      <c r="I43" s="828">
        <f>Hilfstabelle!G174</f>
        <v>0</v>
      </c>
      <c r="J43" s="828">
        <f>Hilfstabelle!H174</f>
        <v>0</v>
      </c>
      <c r="K43" s="828">
        <f>Hilfstabelle!I174</f>
        <v>0</v>
      </c>
      <c r="L43" s="828">
        <f>Hilfstabelle!J174</f>
        <v>0</v>
      </c>
      <c r="M43" s="828">
        <f>Hilfstabelle!K174</f>
        <v>0</v>
      </c>
      <c r="N43" s="828">
        <f>Hilfstabelle!L174</f>
        <v>0</v>
      </c>
      <c r="O43" s="828">
        <f>Hilfstabelle!M174</f>
        <v>0</v>
      </c>
      <c r="P43" s="675">
        <f t="shared" si="5"/>
        <v>0</v>
      </c>
      <c r="Q43" s="656" t="str">
        <f t="shared" si="6"/>
        <v/>
      </c>
      <c r="R43" s="630"/>
      <c r="S43" s="630"/>
      <c r="T43" s="630"/>
      <c r="U43" s="630"/>
      <c r="V43" s="630"/>
      <c r="W43" s="630"/>
      <c r="X43" s="630"/>
      <c r="Y43" s="630"/>
      <c r="Z43" s="630"/>
      <c r="AA43" s="630"/>
      <c r="AB43" s="630"/>
      <c r="AC43" s="630"/>
      <c r="AD43" s="630"/>
      <c r="AE43" s="630"/>
      <c r="AF43" s="630"/>
      <c r="AG43" s="630"/>
      <c r="AH43" s="630"/>
    </row>
    <row r="44" spans="1:34" s="1" customFormat="1" ht="15.75" hidden="1" customHeight="1">
      <c r="A44" s="657"/>
      <c r="B44" s="730"/>
      <c r="C44" s="659"/>
      <c r="D44" s="828"/>
      <c r="E44" s="828"/>
      <c r="F44" s="828"/>
      <c r="G44" s="829"/>
      <c r="H44" s="828"/>
      <c r="I44" s="828"/>
      <c r="J44" s="828"/>
      <c r="K44" s="828"/>
      <c r="L44" s="828"/>
      <c r="M44" s="828"/>
      <c r="N44" s="828"/>
      <c r="O44" s="830"/>
      <c r="P44" s="675">
        <f t="shared" si="5"/>
        <v>0</v>
      </c>
      <c r="Q44" s="656" t="str">
        <f t="shared" si="6"/>
        <v/>
      </c>
      <c r="R44" s="630"/>
      <c r="S44" s="630"/>
      <c r="T44" s="630"/>
      <c r="U44" s="630"/>
      <c r="V44" s="630"/>
      <c r="W44" s="630"/>
      <c r="X44" s="630"/>
      <c r="Y44" s="630"/>
      <c r="Z44" s="630"/>
      <c r="AA44" s="630"/>
      <c r="AB44" s="630"/>
      <c r="AC44" s="630"/>
      <c r="AD44" s="630"/>
      <c r="AE44" s="630"/>
      <c r="AF44" s="630"/>
      <c r="AG44" s="630"/>
      <c r="AH44" s="630"/>
    </row>
    <row r="45" spans="1:34" s="1" customFormat="1" ht="15.75" hidden="1" customHeight="1">
      <c r="A45" s="657"/>
      <c r="B45" s="730"/>
      <c r="C45" s="659"/>
      <c r="D45" s="828"/>
      <c r="E45" s="828"/>
      <c r="F45" s="828"/>
      <c r="G45" s="829"/>
      <c r="H45" s="828"/>
      <c r="I45" s="828"/>
      <c r="J45" s="828"/>
      <c r="K45" s="828"/>
      <c r="L45" s="828"/>
      <c r="M45" s="828"/>
      <c r="N45" s="828"/>
      <c r="O45" s="830"/>
      <c r="P45" s="675">
        <f t="shared" si="5"/>
        <v>0</v>
      </c>
      <c r="Q45" s="656" t="str">
        <f t="shared" si="6"/>
        <v/>
      </c>
      <c r="R45" s="630"/>
      <c r="S45" s="630"/>
      <c r="T45" s="630"/>
      <c r="U45" s="630"/>
      <c r="V45" s="630"/>
      <c r="W45" s="630"/>
      <c r="X45" s="630"/>
      <c r="Y45" s="630"/>
      <c r="Z45" s="630"/>
      <c r="AA45" s="630"/>
      <c r="AB45" s="630"/>
      <c r="AC45" s="630"/>
      <c r="AD45" s="630"/>
      <c r="AE45" s="630"/>
      <c r="AF45" s="630"/>
      <c r="AG45" s="630"/>
      <c r="AH45" s="630"/>
    </row>
    <row r="46" spans="1:34" s="1" customFormat="1" ht="15.75" hidden="1" customHeight="1">
      <c r="A46" s="657"/>
      <c r="B46" s="730"/>
      <c r="C46" s="659"/>
      <c r="D46" s="828"/>
      <c r="E46" s="828"/>
      <c r="F46" s="828"/>
      <c r="G46" s="829"/>
      <c r="H46" s="828"/>
      <c r="I46" s="828"/>
      <c r="J46" s="828"/>
      <c r="K46" s="828"/>
      <c r="L46" s="828"/>
      <c r="M46" s="828"/>
      <c r="N46" s="828"/>
      <c r="O46" s="830"/>
      <c r="P46" s="675">
        <f t="shared" si="5"/>
        <v>0</v>
      </c>
      <c r="Q46" s="656" t="str">
        <f t="shared" si="6"/>
        <v/>
      </c>
      <c r="R46" s="630"/>
      <c r="S46" s="630"/>
      <c r="T46" s="630"/>
      <c r="U46" s="630"/>
      <c r="V46" s="630"/>
      <c r="W46" s="630"/>
      <c r="X46" s="630"/>
      <c r="Y46" s="630"/>
      <c r="Z46" s="630"/>
      <c r="AA46" s="630"/>
      <c r="AB46" s="630"/>
      <c r="AC46" s="630"/>
      <c r="AD46" s="630"/>
      <c r="AE46" s="630"/>
      <c r="AF46" s="630"/>
      <c r="AG46" s="630"/>
      <c r="AH46" s="630"/>
    </row>
    <row r="47" spans="1:34" s="1" customFormat="1" ht="15.75" customHeight="1">
      <c r="A47" s="657" t="s">
        <v>368</v>
      </c>
      <c r="B47" s="730" t="s">
        <v>80</v>
      </c>
      <c r="C47" s="659">
        <f>'übrige Kosten'!E36</f>
        <v>0</v>
      </c>
      <c r="D47" s="828">
        <f>IF(OR(MONTH(D13)=2,MONTH(D13)=5,MONTH(D13)=8,MONTH(D13)=11),'übrige Kosten'!$E34/4,0)+IF(OR(MONTH(D13)=3,MONTH(D13)=6,MONTH(D13)=9,MONTH(D13)=12),'übrige Kosten'!$E35/4,0)</f>
        <v>0</v>
      </c>
      <c r="E47" s="828">
        <f>IF(OR(MONTH(E13)=2,MONTH(E13)=5,MONTH(E13)=8,MONTH(E13)=11),'übrige Kosten'!$E34/4,0)+IF(OR(MONTH(E13)=3,MONTH(E13)=6,MONTH(E13)=9,MONTH(E13)=12),'übrige Kosten'!$E35/4,0)</f>
        <v>0</v>
      </c>
      <c r="F47" s="828">
        <f>IF(OR(MONTH(F13)=2,MONTH(F13)=5,MONTH(F13)=8,MONTH(F13)=11),'übrige Kosten'!$E34/4,0)+IF(OR(MONTH(F13)=3,MONTH(F13)=6,MONTH(F13)=9,MONTH(F13)=12),'übrige Kosten'!$E35/4,0)</f>
        <v>0</v>
      </c>
      <c r="G47" s="828">
        <f>IF(OR(MONTH(G13)=2,MONTH(G13)=5,MONTH(G13)=8,MONTH(G13)=11),'übrige Kosten'!$E34/4,0)+IF(OR(MONTH(G13)=3,MONTH(G13)=6,MONTH(G13)=9,MONTH(G13)=12),'übrige Kosten'!$E35/4,0)</f>
        <v>0</v>
      </c>
      <c r="H47" s="828">
        <f>IF(OR(MONTH(H13)=2,MONTH(H13)=5,MONTH(H13)=8,MONTH(H13)=11),'übrige Kosten'!$E34/4,0)+IF(OR(MONTH(H13)=3,MONTH(H13)=6,MONTH(H13)=9,MONTH(H13)=12),'übrige Kosten'!$E35/4,0)</f>
        <v>0</v>
      </c>
      <c r="I47" s="828">
        <f>IF(OR(MONTH(I13)=2,MONTH(I13)=5,MONTH(I13)=8,MONTH(I13)=11),'übrige Kosten'!$E34/4,0)+IF(OR(MONTH(I13)=3,MONTH(I13)=6,MONTH(I13)=9,MONTH(I13)=12),'übrige Kosten'!$E35/4,0)</f>
        <v>0</v>
      </c>
      <c r="J47" s="828">
        <f>IF(OR(MONTH(J13)=2,MONTH(J13)=5,MONTH(J13)=8,MONTH(J13)=11),'übrige Kosten'!$E34/4,0)+IF(OR(MONTH(J13)=3,MONTH(J13)=6,MONTH(J13)=9,MONTH(J13)=12),'übrige Kosten'!$E35/4,0)</f>
        <v>0</v>
      </c>
      <c r="K47" s="828">
        <f>IF(OR(MONTH(K13)=2,MONTH(K13)=5,MONTH(K13)=8,MONTH(K13)=11),'übrige Kosten'!$E34/4,0)+IF(OR(MONTH(K13)=3,MONTH(K13)=6,MONTH(K13)=9,MONTH(K13)=12),'übrige Kosten'!$E35/4,0)</f>
        <v>0</v>
      </c>
      <c r="L47" s="828">
        <f>IF(OR(MONTH(L13)=2,MONTH(L13)=5,MONTH(L13)=8,MONTH(L13)=11),'übrige Kosten'!$E34/4,0)+IF(OR(MONTH(L13)=3,MONTH(L13)=6,MONTH(L13)=9,MONTH(L13)=12),'übrige Kosten'!$E35/4,0)</f>
        <v>0</v>
      </c>
      <c r="M47" s="828">
        <f>IF(OR(MONTH(M13)=2,MONTH(M13)=5,MONTH(M13)=8,MONTH(M13)=11),'übrige Kosten'!$E34/4,0)+IF(OR(MONTH(M13)=3,MONTH(M13)=6,MONTH(M13)=9,MONTH(M13)=12),'übrige Kosten'!$E35/4,0)</f>
        <v>0</v>
      </c>
      <c r="N47" s="828">
        <f>IF(OR(MONTH(N13)=2,MONTH(N13)=5,MONTH(N13)=8,MONTH(N13)=11),'übrige Kosten'!$E34/4,0)+IF(OR(MONTH(N13)=3,MONTH(N13)=6,MONTH(N13)=9,MONTH(N13)=12),'übrige Kosten'!$E35/4,0)</f>
        <v>0</v>
      </c>
      <c r="O47" s="828">
        <f>IF(OR(MONTH(O13)=2,MONTH(O13)=5,MONTH(O13)=8,MONTH(O13)=11),'übrige Kosten'!$E34/4,0)+IF(OR(MONTH(O13)=3,MONTH(O13)=6,MONTH(O13)=9,MONTH(O13)=12),'übrige Kosten'!$E35/4,0)</f>
        <v>0</v>
      </c>
      <c r="P47" s="675">
        <f t="shared" si="5"/>
        <v>0</v>
      </c>
      <c r="Q47" s="656" t="str">
        <f t="shared" si="6"/>
        <v/>
      </c>
      <c r="R47" s="630"/>
      <c r="S47" s="630"/>
      <c r="T47" s="630"/>
      <c r="U47" s="630"/>
      <c r="V47" s="630"/>
      <c r="W47" s="630"/>
      <c r="X47" s="630"/>
      <c r="Y47" s="630"/>
      <c r="Z47" s="630"/>
      <c r="AA47" s="630"/>
      <c r="AB47" s="630"/>
      <c r="AC47" s="630"/>
      <c r="AD47" s="630"/>
      <c r="AE47" s="630"/>
      <c r="AF47" s="630"/>
      <c r="AG47" s="630"/>
      <c r="AH47" s="630"/>
    </row>
    <row r="48" spans="1:34" s="1" customFormat="1" ht="15.75" customHeight="1">
      <c r="A48" s="739" t="str">
        <f>'Liquiditätsplan-1.Jahr'!A48</f>
        <v>USt-freie Investitionen gemäß Kapitalbedarfsplan</v>
      </c>
      <c r="B48" s="775" t="str">
        <f>'Liquiditätsplan-1.Jahr'!B48</f>
        <v>nein</v>
      </c>
      <c r="C48" s="779">
        <f>IF('Liquiditätsplan-1.Jahr'!P48&lt;'Liquiditätsplan-1.Jahr'!C48,'Liquiditätsplan-1.Jahr'!C48-'Liquiditätsplan-1.Jahr'!P48,0)</f>
        <v>0</v>
      </c>
      <c r="D48" s="828">
        <f>C48</f>
        <v>0</v>
      </c>
      <c r="E48" s="828"/>
      <c r="F48" s="828"/>
      <c r="G48" s="828"/>
      <c r="H48" s="828"/>
      <c r="I48" s="828"/>
      <c r="J48" s="828"/>
      <c r="K48" s="828"/>
      <c r="L48" s="828"/>
      <c r="M48" s="828"/>
      <c r="N48" s="828"/>
      <c r="O48" s="828"/>
      <c r="P48" s="675">
        <f>SUM(D48:O48)</f>
        <v>0</v>
      </c>
      <c r="Q48" s="656" t="str">
        <f t="shared" si="6"/>
        <v/>
      </c>
      <c r="R48" s="630"/>
      <c r="S48" s="630"/>
      <c r="T48" s="630"/>
      <c r="U48" s="630"/>
      <c r="V48" s="630"/>
      <c r="W48" s="630"/>
      <c r="X48" s="630"/>
      <c r="Y48" s="630"/>
      <c r="Z48" s="630"/>
      <c r="AA48" s="630"/>
      <c r="AB48" s="630"/>
      <c r="AC48" s="630"/>
      <c r="AD48" s="630"/>
      <c r="AE48" s="630"/>
      <c r="AF48" s="630"/>
      <c r="AG48" s="630"/>
      <c r="AH48" s="630"/>
    </row>
    <row r="49" spans="1:34" s="1" customFormat="1" ht="15.75" customHeight="1">
      <c r="A49" s="739" t="s">
        <v>405</v>
      </c>
      <c r="B49" s="879" t="s">
        <v>81</v>
      </c>
      <c r="C49" s="828">
        <v>0</v>
      </c>
      <c r="D49" s="828">
        <f>C49</f>
        <v>0</v>
      </c>
      <c r="E49" s="828"/>
      <c r="F49" s="828"/>
      <c r="G49" s="828"/>
      <c r="H49" s="828"/>
      <c r="I49" s="828"/>
      <c r="J49" s="828"/>
      <c r="K49" s="828"/>
      <c r="L49" s="828"/>
      <c r="M49" s="828"/>
      <c r="N49" s="828"/>
      <c r="O49" s="828"/>
      <c r="P49" s="675">
        <f t="shared" si="5"/>
        <v>0</v>
      </c>
      <c r="Q49" s="656" t="str">
        <f t="shared" si="6"/>
        <v/>
      </c>
      <c r="R49" s="630"/>
      <c r="S49" s="630"/>
      <c r="T49" s="630"/>
      <c r="U49" s="630"/>
      <c r="V49" s="630"/>
      <c r="W49" s="630"/>
      <c r="X49" s="630"/>
      <c r="Y49" s="630"/>
      <c r="Z49" s="630"/>
      <c r="AA49" s="630"/>
      <c r="AB49" s="630"/>
      <c r="AC49" s="630"/>
      <c r="AD49" s="630"/>
      <c r="AE49" s="630"/>
      <c r="AF49" s="630"/>
      <c r="AG49" s="630"/>
      <c r="AH49" s="630"/>
    </row>
    <row r="50" spans="1:34" s="1" customFormat="1" ht="15.75" customHeight="1">
      <c r="A50" s="657" t="s">
        <v>65</v>
      </c>
      <c r="B50" s="730" t="s">
        <v>80</v>
      </c>
      <c r="C50" s="828">
        <f>IF(OR(8=Startseite!$A50,9=Startseite!$A50,10=Startseite!$A50),0,Unternehmerlohn!H45+Unternehmerlohn!S45+Unternehmerlohn!AD45)</f>
        <v>0</v>
      </c>
      <c r="D50" s="828">
        <f>IF(C50=0,0,Unternehmerlohn!$H43/12-IF(Unternehmerlohn!$E56=0,0,Unternehmerlohn!$E56)-IF(OR(Unternehmerlohn!$E65=6,Unternehmerlohn!$E65=12),Unternehmerlohn!$E67,0))+IF(C50=0,0,Unternehmerlohn!$S43/12-IF(Unternehmerlohn!$P56=0,0,Unternehmerlohn!$P56)-IF(OR(Unternehmerlohn!$P65=6,Unternehmerlohn!$P65=12),Unternehmerlohn!$P67,0))+IF(C50=0,0,Unternehmerlohn!$AD43/12-IF(Unternehmerlohn!$AA56=0,0,Unternehmerlohn!$AA56)-IF(OR(Unternehmerlohn!$AA65=6,Unternehmerlohn!$AA65=12),Unternehmerlohn!$AA67,0))</f>
        <v>0</v>
      </c>
      <c r="E50" s="828">
        <f>IF(D50=0,0,Unternehmerlohn!$H43/12-IF(Unternehmerlohn!$E56=0,0,Unternehmerlohn!$E56)-IF(OR(Unternehmerlohn!$E65=6,Unternehmerlohn!$E65=12),Unternehmerlohn!$E67,0))+IF(D50=0,0,Unternehmerlohn!$S43/12-IF(Unternehmerlohn!$P56=0,0,Unternehmerlohn!$P56)-IF(OR(Unternehmerlohn!$P65=6,Unternehmerlohn!$P65=12),Unternehmerlohn!$P67,0))+IF(D50=0,0,Unternehmerlohn!$AD43/12-IF(Unternehmerlohn!$AA56=0,0,Unternehmerlohn!$AA56)-IF(OR(Unternehmerlohn!$AA65=6,Unternehmerlohn!$AA65=12),Unternehmerlohn!$AA67,0))</f>
        <v>0</v>
      </c>
      <c r="F50" s="828">
        <f>IF(E50=0,0,Unternehmerlohn!$H43/12-IF(Unternehmerlohn!$E56=0,0,Unternehmerlohn!$E56)-IF(OR(Unternehmerlohn!$E65=6,Unternehmerlohn!$E65=12),Unternehmerlohn!$E67,0))+IF(E50=0,0,Unternehmerlohn!$S43/12-IF(Unternehmerlohn!$P56=0,0,Unternehmerlohn!$P56)-IF(OR(Unternehmerlohn!$P65=6,Unternehmerlohn!$P65=12),Unternehmerlohn!$P67,0))+IF(E50=0,0,Unternehmerlohn!$AD43/12-IF(Unternehmerlohn!$AA56=0,0,Unternehmerlohn!$AA56)-IF(OR(Unternehmerlohn!$AA65=6,Unternehmerlohn!$AA65=12),Unternehmerlohn!$AA67,0))</f>
        <v>0</v>
      </c>
      <c r="G50" s="828">
        <f>IF(F50=0,0,Unternehmerlohn!$H43/12-IF(OR(Unternehmerlohn!$E65=6,Unternehmerlohn!$E65=12),Unternehmerlohn!$E67,0))+IF(F50=0,0,Unternehmerlohn!$S43/12-IF(OR(Unternehmerlohn!$P65=6,Unternehmerlohn!$P65=12),Unternehmerlohn!$P67,0))+IF(F50=0,0,Unternehmerlohn!$AD43/12-IF(OR(Unternehmerlohn!$AA65=6,Unternehmerlohn!$AA65=12),Unternehmerlohn!$AA67,0))</f>
        <v>0</v>
      </c>
      <c r="H50" s="828">
        <f>IF(G50=0,0,Unternehmerlohn!$H43/12-IF(OR(Unternehmerlohn!$E65=6,Unternehmerlohn!$E65=12),Unternehmerlohn!$E67,0))+IF(G50=0,0,Unternehmerlohn!$S43/12-IF(OR(Unternehmerlohn!$P65=6,Unternehmerlohn!$P65=12),Unternehmerlohn!$P67,0))+IF(G50=0,0,Unternehmerlohn!$AD43/12-IF(OR(Unternehmerlohn!$AA65=6,Unternehmerlohn!$AA65=12),Unternehmerlohn!$AA67,0))</f>
        <v>0</v>
      </c>
      <c r="I50" s="828">
        <f>IF(H50=0,0,Unternehmerlohn!$H43/12-IF(OR(Unternehmerlohn!$E65=6,Unternehmerlohn!$E65=12),Unternehmerlohn!$E67,0))+IF(H50=0,0,Unternehmerlohn!$S43/12-IF(OR(Unternehmerlohn!$P65=6,Unternehmerlohn!$P65=12),Unternehmerlohn!$P67,0))+IF(H50=0,0,Unternehmerlohn!$AD43/12-IF(OR(Unternehmerlohn!$AA65=6,Unternehmerlohn!$AA65=12),Unternehmerlohn!$AA67,0))</f>
        <v>0</v>
      </c>
      <c r="J50" s="828">
        <f>IF(I50=0,0,Unternehmerlohn!$H43/12-IF(Unternehmerlohn!$E65=12,Unternehmerlohn!$E67,0))+IF(I50=0,0,Unternehmerlohn!$S43/12-IF(Unternehmerlohn!$P65=12,Unternehmerlohn!$P67,0))+IF(I50=0,0,Unternehmerlohn!$AD43/12-IF(Unternehmerlohn!$AA65=12,Unternehmerlohn!$AA67,0))</f>
        <v>0</v>
      </c>
      <c r="K50" s="828">
        <f>IF(J50=0,0,Unternehmerlohn!$H43/12-IF(Unternehmerlohn!$E65=12,Unternehmerlohn!$E67,0))+IF(J50=0,0,Unternehmerlohn!$S43/12-IF(Unternehmerlohn!$P65=12,Unternehmerlohn!$P67,0))+IF(J50=0,0,Unternehmerlohn!$AD43/12-IF(Unternehmerlohn!$AA65=12,Unternehmerlohn!$AA67,0))</f>
        <v>0</v>
      </c>
      <c r="L50" s="828">
        <f>IF(K50=0,0,Unternehmerlohn!$H43/12-IF(Unternehmerlohn!$E65=12,Unternehmerlohn!$E67,0))+IF(K50=0,0,Unternehmerlohn!$S43/12-IF(Unternehmerlohn!$P65=12,Unternehmerlohn!$P67,0))+IF(K50=0,0,Unternehmerlohn!$AD43/12-IF(Unternehmerlohn!$AA65=12,Unternehmerlohn!$AA67,0))</f>
        <v>0</v>
      </c>
      <c r="M50" s="828">
        <f>IF(L50=0,0,Unternehmerlohn!$H43/12-IF(Unternehmerlohn!$E65=12,Unternehmerlohn!$E67,0))+IF(L50=0,0,Unternehmerlohn!$S43/12-IF(Unternehmerlohn!$P65=12,Unternehmerlohn!$P67,0))+IF(L50=0,0,Unternehmerlohn!$AD43/12-IF(Unternehmerlohn!$AA65=12,Unternehmerlohn!$AA67,0))</f>
        <v>0</v>
      </c>
      <c r="N50" s="828">
        <f>IF(M50=0,0,Unternehmerlohn!$H43/12-IF(Unternehmerlohn!$E65=12,Unternehmerlohn!$E67,0))+IF(M50=0,0,Unternehmerlohn!$S43/12-IF(Unternehmerlohn!$P65=12,Unternehmerlohn!$P67,0))+IF(M50=0,0,Unternehmerlohn!$AD43/12-IF(Unternehmerlohn!$AA65=12,Unternehmerlohn!$AA67,0))</f>
        <v>0</v>
      </c>
      <c r="O50" s="828">
        <f>IF(N50=0,0,Unternehmerlohn!$H43/12-IF(Unternehmerlohn!$E65=12,Unternehmerlohn!$E67,0))+IF(N50=0,0,Unternehmerlohn!$S43/12-IF(Unternehmerlohn!$P65=12,Unternehmerlohn!$P67,0))+IF(N50=0,0,Unternehmerlohn!$AD43/12-IF(Unternehmerlohn!$AA65=12,Unternehmerlohn!$AA67,0))</f>
        <v>0</v>
      </c>
      <c r="P50" s="675">
        <f t="shared" si="5"/>
        <v>0</v>
      </c>
      <c r="Q50" s="656" t="str">
        <f>IF(AND(ABS(P50-C50)&gt;50,P50&lt;&gt;0),"Überprüfe und ggf. ermittle Monatswerte für geplanten Unternehmerlohn","")</f>
        <v/>
      </c>
      <c r="R50" s="630"/>
      <c r="S50" s="630"/>
      <c r="T50" s="630"/>
      <c r="U50" s="630"/>
      <c r="V50" s="630"/>
      <c r="W50" s="630"/>
      <c r="X50" s="630"/>
      <c r="Y50" s="630"/>
      <c r="Z50" s="630"/>
      <c r="AA50" s="630"/>
      <c r="AB50" s="630"/>
      <c r="AC50" s="630"/>
      <c r="AD50" s="630"/>
      <c r="AE50" s="630"/>
      <c r="AF50" s="630"/>
      <c r="AG50" s="630"/>
      <c r="AH50" s="630"/>
    </row>
    <row r="51" spans="1:34" s="1" customFormat="1" ht="15.75" customHeight="1">
      <c r="A51" s="657" t="s">
        <v>8</v>
      </c>
      <c r="B51" s="730" t="s">
        <v>80</v>
      </c>
      <c r="C51" s="659">
        <f>Rentabilität!H44</f>
        <v>0</v>
      </c>
      <c r="D51" s="828">
        <f>Hilfstabelle!B111+'Zins und Tilgung'!$AS19/12</f>
        <v>0</v>
      </c>
      <c r="E51" s="828">
        <f>Hilfstabelle!C111+'Zins und Tilgung'!$AS19/12</f>
        <v>0</v>
      </c>
      <c r="F51" s="828">
        <f>Hilfstabelle!D111+'Zins und Tilgung'!$AS19/12</f>
        <v>0</v>
      </c>
      <c r="G51" s="828">
        <f>Hilfstabelle!E111+'Zins und Tilgung'!$AS19/12</f>
        <v>0</v>
      </c>
      <c r="H51" s="828">
        <f>Hilfstabelle!F111+'Zins und Tilgung'!$AS19/12</f>
        <v>0</v>
      </c>
      <c r="I51" s="828">
        <f>Hilfstabelle!G111+'Zins und Tilgung'!$AS19/12</f>
        <v>0</v>
      </c>
      <c r="J51" s="828">
        <f>Hilfstabelle!H111+'Zins und Tilgung'!$AS19/12</f>
        <v>0</v>
      </c>
      <c r="K51" s="828">
        <f>Hilfstabelle!I111+'Zins und Tilgung'!$AS19/12</f>
        <v>0</v>
      </c>
      <c r="L51" s="828">
        <f>Hilfstabelle!J111+'Zins und Tilgung'!$AS19/12</f>
        <v>0</v>
      </c>
      <c r="M51" s="828">
        <f>Hilfstabelle!K111+'Zins und Tilgung'!$AS19/12</f>
        <v>0</v>
      </c>
      <c r="N51" s="828">
        <f>Hilfstabelle!L111+'Zins und Tilgung'!$AS19/12</f>
        <v>0</v>
      </c>
      <c r="O51" s="828">
        <f>Hilfstabelle!M111+'Zins und Tilgung'!$AS19/12</f>
        <v>0</v>
      </c>
      <c r="P51" s="675">
        <f t="shared" si="5"/>
        <v>0</v>
      </c>
      <c r="Q51" s="656" t="str">
        <f>IF(AND(ABS(P51-C51)&gt;100,P51&lt;&gt;0),"Überprüfe Eintragung","")</f>
        <v/>
      </c>
      <c r="R51" s="630"/>
      <c r="S51" s="630"/>
      <c r="T51" s="630"/>
      <c r="U51" s="630"/>
      <c r="V51" s="630"/>
      <c r="W51" s="630"/>
      <c r="X51" s="630"/>
      <c r="Y51" s="630"/>
      <c r="Z51" s="630"/>
      <c r="AA51" s="630"/>
      <c r="AB51" s="630"/>
      <c r="AC51" s="630"/>
      <c r="AD51" s="630"/>
      <c r="AE51" s="630"/>
      <c r="AF51" s="630"/>
      <c r="AG51" s="630"/>
      <c r="AH51" s="630"/>
    </row>
    <row r="52" spans="1:34" s="1" customFormat="1" ht="15.75" customHeight="1" thickBot="1">
      <c r="A52" s="688" t="s">
        <v>79</v>
      </c>
      <c r="B52" s="740"/>
      <c r="C52" s="690">
        <f>(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C25+IF($B27="ja",C27,0)+C28+C30+C31+C32+C33+C34+C35+C36+C37+C38+C39+C40+C43+C44+C45+C46+IF($B49="ja",C49,0)+IF($B48="ja",C48,0))*0.19</f>
        <v>0</v>
      </c>
      <c r="D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D24,0))+(SUM(D25:D51)-D26-IF($B27="nein",D27,0)-D29-D41-D42-D47-IF($B49="nein",D49,0)-IF($B48="nein",D48,0)-D50-D51)*$B$11)</f>
        <v>0</v>
      </c>
      <c r="E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E24,0))+(SUM(E25:E51)-E26-IF($B27="nein",E27,0)-E29-E41-E42-E47-IF($B49="nein",E49,0)-IF($B48="nein",E48,0)-E50-E51)*$B$11)</f>
        <v>0</v>
      </c>
      <c r="F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F24,0))+(SUM(F25:F51)-F26-IF($B27="nein",F27,0)-F29-F41-F42-F47-IF($B49="nein",F49,0)-IF($B48="nein",F48,0)-F50-F51)*$B$11)</f>
        <v>0</v>
      </c>
      <c r="G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G24,0))+(SUM(G25:G51)-G26-IF($B27="nein",G27,0)-G29-G41-G42-G47-IF($B49="nein",G49,0)-IF($B48="nein",G48,0)-G50-G51)*$B$11)</f>
        <v>0</v>
      </c>
      <c r="H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H24,0))+(SUM(H25:H51)-H26-IF($B27="nein",H27,0)-H29-H41-H42-H47-IF($B49="nein",H49,0)-IF($B48="nein",H48,0)-H50-H51)*$B$11)</f>
        <v>0</v>
      </c>
      <c r="I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I24,0))+(SUM(I25:I51)-I26-IF($B27="nein",I27,0)-I29-I41-I42-I47-IF($B49="nein",I49,0)-IF($B48="nein",I48,0)-I50-I51)*$B$11)</f>
        <v>0</v>
      </c>
      <c r="J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J24,0))+(SUM(J25:J51)-J26-IF($B27="nein",J27,0)-J29-J41-J42-J47-IF($B49="nein",J49,0)-IF($B48="nein",J48,0)-J50-J51)*$B$11)</f>
        <v>0</v>
      </c>
      <c r="K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K24,0))+(SUM(K25:K51)-K26-IF($B27="nein",K27,0)-K29-K41-K42-K47-IF($B49="nein",K49,0)-IF($B48="nein",K48,0)-K50-K51)*$B$11)</f>
        <v>0</v>
      </c>
      <c r="L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L24,0))+(SUM(L25:L51)-L26-IF($B27="nein",L27,0)-L29-L41-L42-L47-IF($B49="nein",L49,0)-IF($B48="nein",L48,0)-L50-L51)*$B$11)</f>
        <v>0</v>
      </c>
      <c r="M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M24,0))+(SUM(M25:M51)-M26-IF($B27="nein",M27,0)-M29-M41-M42-M47-IF($B49="nein",M49,0)-IF($B48="nein",M48,0)-M50-M51)*$B$11)</f>
        <v>0</v>
      </c>
      <c r="N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N24,0))+(SUM(N25:N51)-N26-IF($B27="nein",N27,0)-N29-N41-N42-N47-IF($B49="nein",N49,0)-IF($B48="nein",N48,0)-N50-N51)*$B$11)</f>
        <v>0</v>
      </c>
      <c r="O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O24,0))+(SUM(O25:O51)-O26-IF($B27="nein",O27,0)-O29-O41-O42-O47-IF($B49="nein",O49,0)-IF($B48="nein",O48,0)-O50-O51)*$B$11)</f>
        <v>0</v>
      </c>
      <c r="P52" s="691">
        <f>SUM(D52:O52)</f>
        <v>0</v>
      </c>
      <c r="Q52" s="656"/>
      <c r="R52" s="630"/>
      <c r="S52" s="630"/>
      <c r="T52" s="630"/>
      <c r="U52" s="630"/>
      <c r="V52" s="630"/>
      <c r="W52" s="630"/>
      <c r="X52" s="630"/>
      <c r="Y52" s="630"/>
      <c r="Z52" s="630"/>
      <c r="AA52" s="630"/>
      <c r="AB52" s="630"/>
      <c r="AC52" s="630"/>
      <c r="AD52" s="630"/>
      <c r="AE52" s="630"/>
      <c r="AF52" s="630"/>
      <c r="AG52" s="630"/>
      <c r="AH52" s="630"/>
    </row>
    <row r="53" spans="1:34" s="1" customFormat="1" ht="16.8" thickTop="1" thickBot="1">
      <c r="A53" s="692" t="s">
        <v>191</v>
      </c>
      <c r="B53" s="741"/>
      <c r="C53" s="680">
        <f t="shared" ref="C53:O53" si="8">SUM(C24:C52)</f>
        <v>0</v>
      </c>
      <c r="D53" s="680">
        <f t="shared" si="8"/>
        <v>0</v>
      </c>
      <c r="E53" s="680">
        <f t="shared" si="8"/>
        <v>0</v>
      </c>
      <c r="F53" s="680">
        <f t="shared" si="8"/>
        <v>0</v>
      </c>
      <c r="G53" s="680">
        <f t="shared" si="8"/>
        <v>0</v>
      </c>
      <c r="H53" s="680">
        <f t="shared" si="8"/>
        <v>0</v>
      </c>
      <c r="I53" s="680">
        <f t="shared" si="8"/>
        <v>0</v>
      </c>
      <c r="J53" s="680">
        <f t="shared" si="8"/>
        <v>0</v>
      </c>
      <c r="K53" s="680">
        <f t="shared" si="8"/>
        <v>0</v>
      </c>
      <c r="L53" s="680">
        <f t="shared" si="8"/>
        <v>0</v>
      </c>
      <c r="M53" s="680">
        <f t="shared" si="8"/>
        <v>0</v>
      </c>
      <c r="N53" s="680">
        <f t="shared" si="8"/>
        <v>0</v>
      </c>
      <c r="O53" s="680">
        <f t="shared" si="8"/>
        <v>0</v>
      </c>
      <c r="P53" s="681">
        <f t="shared" si="5"/>
        <v>0</v>
      </c>
      <c r="Q53" s="656"/>
      <c r="R53" s="630"/>
      <c r="S53" s="630"/>
      <c r="T53" s="630"/>
      <c r="U53" s="630"/>
      <c r="V53" s="630"/>
      <c r="W53" s="630"/>
      <c r="X53" s="630"/>
      <c r="Y53" s="630"/>
      <c r="Z53" s="630"/>
      <c r="AA53" s="630"/>
      <c r="AB53" s="630"/>
      <c r="AC53" s="630"/>
      <c r="AD53" s="630"/>
      <c r="AE53" s="630"/>
      <c r="AF53" s="630"/>
      <c r="AG53" s="630"/>
      <c r="AH53" s="630"/>
    </row>
    <row r="54" spans="1:34" s="1" customFormat="1" ht="20.25" customHeight="1" thickTop="1">
      <c r="A54" s="742" t="s">
        <v>66</v>
      </c>
      <c r="B54" s="743"/>
      <c r="C54" s="744"/>
      <c r="D54" s="745">
        <f>IF(Hilfstabelle!E153="ja",-'Liquiditätsplan-1.Jahr'!O15+'Liquiditätsplan-1.Jahr'!O52,0)</f>
        <v>0</v>
      </c>
      <c r="E54" s="698">
        <f>IF(Hilfstabelle!$E$153="ja",-D15+D52,0)</f>
        <v>0</v>
      </c>
      <c r="F54" s="698">
        <f>IF(Hilfstabelle!$E$153="ja",-E15+E52,0)</f>
        <v>0</v>
      </c>
      <c r="G54" s="698">
        <f>IF(Hilfstabelle!$E$153="ja",-F15+F52,0)</f>
        <v>0</v>
      </c>
      <c r="H54" s="698">
        <f>IF(Hilfstabelle!$E$153="ja",-G15+G52,0)</f>
        <v>0</v>
      </c>
      <c r="I54" s="698">
        <f>IF(Hilfstabelle!$E$153="ja",-H15+H52,0)</f>
        <v>0</v>
      </c>
      <c r="J54" s="698">
        <f>IF(Hilfstabelle!$E$153="ja",-I15+I52,0)</f>
        <v>0</v>
      </c>
      <c r="K54" s="698">
        <f>IF(Hilfstabelle!$E$153="ja",-J15+J52,0)</f>
        <v>0</v>
      </c>
      <c r="L54" s="698">
        <f>IF(Hilfstabelle!$E$153="ja",-K15+K52,0)</f>
        <v>0</v>
      </c>
      <c r="M54" s="698">
        <f>IF(Hilfstabelle!$E$153="ja",-L15+L52,0)</f>
        <v>0</v>
      </c>
      <c r="N54" s="698">
        <f>IF(Hilfstabelle!$E$153="ja",-M15+M52,0)</f>
        <v>0</v>
      </c>
      <c r="O54" s="698">
        <f>IF(Hilfstabelle!$E$153="ja",-N15+N52,0)</f>
        <v>0</v>
      </c>
      <c r="P54" s="699">
        <f t="shared" si="5"/>
        <v>0</v>
      </c>
      <c r="Q54" s="656"/>
      <c r="R54" s="630"/>
      <c r="S54" s="630"/>
      <c r="T54" s="630"/>
      <c r="U54" s="630"/>
      <c r="V54" s="630"/>
      <c r="W54" s="630"/>
      <c r="X54" s="630"/>
      <c r="Y54" s="630"/>
      <c r="Z54" s="630"/>
      <c r="AA54" s="630"/>
      <c r="AB54" s="630"/>
      <c r="AC54" s="630"/>
      <c r="AD54" s="630"/>
      <c r="AE54" s="630"/>
      <c r="AF54" s="630"/>
      <c r="AG54" s="630"/>
      <c r="AH54" s="630"/>
    </row>
    <row r="55" spans="1:34" s="1" customFormat="1" ht="20.25" customHeight="1">
      <c r="A55" s="746"/>
      <c r="B55" s="747"/>
      <c r="C55" s="748"/>
      <c r="D55" s="749"/>
      <c r="E55" s="749"/>
      <c r="F55" s="749"/>
      <c r="G55" s="749"/>
      <c r="H55" s="749"/>
      <c r="I55" s="749"/>
      <c r="J55" s="749"/>
      <c r="K55" s="749"/>
      <c r="L55" s="749"/>
      <c r="M55" s="749"/>
      <c r="N55" s="749"/>
      <c r="O55" s="749"/>
      <c r="P55" s="684"/>
      <c r="Q55" s="656"/>
      <c r="R55" s="630"/>
      <c r="S55" s="630"/>
      <c r="T55" s="630"/>
      <c r="U55" s="630"/>
      <c r="V55" s="630"/>
      <c r="W55" s="630"/>
      <c r="X55" s="630"/>
      <c r="Y55" s="630"/>
      <c r="Z55" s="630"/>
      <c r="AA55" s="630"/>
      <c r="AB55" s="630"/>
      <c r="AC55" s="630"/>
      <c r="AD55" s="630"/>
      <c r="AE55" s="630"/>
      <c r="AF55" s="630"/>
      <c r="AG55" s="630"/>
      <c r="AH55" s="630"/>
    </row>
    <row r="56" spans="1:34" s="1" customFormat="1" ht="15.6">
      <c r="A56" s="716" t="s">
        <v>288</v>
      </c>
      <c r="B56" s="750"/>
      <c r="C56" s="751">
        <f>'Liquiditätsplan-1.Jahr'!O57</f>
        <v>0</v>
      </c>
      <c r="D56" s="752">
        <f t="shared" ref="D56:O56" si="9">D21-D53+D54</f>
        <v>0</v>
      </c>
      <c r="E56" s="752">
        <f t="shared" si="9"/>
        <v>0</v>
      </c>
      <c r="F56" s="752">
        <f t="shared" si="9"/>
        <v>0</v>
      </c>
      <c r="G56" s="752">
        <f t="shared" si="9"/>
        <v>0</v>
      </c>
      <c r="H56" s="752">
        <f t="shared" si="9"/>
        <v>0</v>
      </c>
      <c r="I56" s="752">
        <f t="shared" si="9"/>
        <v>0</v>
      </c>
      <c r="J56" s="752">
        <f t="shared" si="9"/>
        <v>0</v>
      </c>
      <c r="K56" s="752">
        <f t="shared" si="9"/>
        <v>0</v>
      </c>
      <c r="L56" s="752">
        <f t="shared" si="9"/>
        <v>0</v>
      </c>
      <c r="M56" s="752">
        <f t="shared" si="9"/>
        <v>0</v>
      </c>
      <c r="N56" s="752">
        <f t="shared" si="9"/>
        <v>0</v>
      </c>
      <c r="O56" s="753">
        <f t="shared" si="9"/>
        <v>0</v>
      </c>
      <c r="P56" s="704">
        <f>SUM(C56:O56)</f>
        <v>0</v>
      </c>
      <c r="Q56" s="656"/>
      <c r="R56" s="630"/>
      <c r="S56" s="630"/>
      <c r="T56" s="630"/>
      <c r="U56" s="630"/>
      <c r="V56" s="630"/>
      <c r="W56" s="630"/>
      <c r="X56" s="630"/>
      <c r="Y56" s="630"/>
      <c r="Z56" s="630"/>
      <c r="AA56" s="630"/>
      <c r="AB56" s="630"/>
      <c r="AC56" s="630"/>
      <c r="AD56" s="630"/>
      <c r="AE56" s="630"/>
      <c r="AF56" s="630"/>
      <c r="AG56" s="630"/>
      <c r="AH56" s="630"/>
    </row>
    <row r="57" spans="1:34" s="1" customFormat="1" ht="16.2" thickBot="1">
      <c r="A57" s="705" t="s">
        <v>67</v>
      </c>
      <c r="B57" s="754"/>
      <c r="C57" s="707"/>
      <c r="D57" s="708">
        <f>D56+C56</f>
        <v>0</v>
      </c>
      <c r="E57" s="708">
        <f t="shared" ref="E57:O57" si="10">D57+E56</f>
        <v>0</v>
      </c>
      <c r="F57" s="708">
        <f t="shared" si="10"/>
        <v>0</v>
      </c>
      <c r="G57" s="708">
        <f t="shared" si="10"/>
        <v>0</v>
      </c>
      <c r="H57" s="708">
        <f t="shared" si="10"/>
        <v>0</v>
      </c>
      <c r="I57" s="708">
        <f t="shared" si="10"/>
        <v>0</v>
      </c>
      <c r="J57" s="708">
        <f t="shared" si="10"/>
        <v>0</v>
      </c>
      <c r="K57" s="708">
        <f t="shared" si="10"/>
        <v>0</v>
      </c>
      <c r="L57" s="708">
        <f t="shared" si="10"/>
        <v>0</v>
      </c>
      <c r="M57" s="708">
        <f t="shared" si="10"/>
        <v>0</v>
      </c>
      <c r="N57" s="708">
        <f t="shared" si="10"/>
        <v>0</v>
      </c>
      <c r="O57" s="709">
        <f t="shared" si="10"/>
        <v>0</v>
      </c>
      <c r="P57" s="710"/>
      <c r="Q57" s="656"/>
      <c r="R57" s="630"/>
      <c r="S57" s="630"/>
      <c r="T57" s="630"/>
      <c r="U57" s="630"/>
      <c r="V57" s="630"/>
      <c r="W57" s="630"/>
      <c r="X57" s="630"/>
      <c r="Y57" s="630"/>
      <c r="Z57" s="630"/>
      <c r="AA57" s="630"/>
      <c r="AB57" s="630"/>
      <c r="AC57" s="630"/>
      <c r="AD57" s="630"/>
      <c r="AE57" s="630"/>
      <c r="AF57" s="630"/>
      <c r="AG57" s="630"/>
      <c r="AH57" s="630"/>
    </row>
    <row r="58" spans="1:34" s="1" customFormat="1" ht="15.6">
      <c r="A58" s="711"/>
      <c r="B58" s="755"/>
      <c r="C58" s="713"/>
      <c r="D58" s="714"/>
      <c r="E58" s="714"/>
      <c r="F58" s="714"/>
      <c r="G58" s="714"/>
      <c r="H58" s="714"/>
      <c r="I58" s="714"/>
      <c r="J58" s="714"/>
      <c r="K58" s="714"/>
      <c r="L58" s="714"/>
      <c r="M58" s="714"/>
      <c r="N58" s="714"/>
      <c r="O58" s="714"/>
      <c r="P58" s="715"/>
      <c r="Q58" s="630"/>
      <c r="R58" s="630"/>
      <c r="S58" s="630"/>
      <c r="T58" s="630"/>
      <c r="U58" s="630"/>
      <c r="V58" s="630"/>
      <c r="W58" s="630"/>
      <c r="X58" s="630"/>
      <c r="Y58" s="630"/>
      <c r="Z58" s="630"/>
      <c r="AA58" s="630"/>
      <c r="AB58" s="630"/>
      <c r="AC58" s="630"/>
      <c r="AD58" s="630"/>
      <c r="AE58" s="630"/>
      <c r="AF58" s="630"/>
      <c r="AG58" s="630"/>
      <c r="AH58" s="630"/>
    </row>
    <row r="59" spans="1:34" ht="15.6">
      <c r="A59" s="716" t="s">
        <v>125</v>
      </c>
      <c r="B59" s="756"/>
      <c r="C59" s="670">
        <f>'Liquiditätsplan-1.Jahr'!O59</f>
        <v>0</v>
      </c>
      <c r="D59" s="670">
        <f t="shared" ref="D59:O59" si="11">$C59</f>
        <v>0</v>
      </c>
      <c r="E59" s="670">
        <f t="shared" si="11"/>
        <v>0</v>
      </c>
      <c r="F59" s="670">
        <f t="shared" si="11"/>
        <v>0</v>
      </c>
      <c r="G59" s="670">
        <f t="shared" si="11"/>
        <v>0</v>
      </c>
      <c r="H59" s="670">
        <f t="shared" si="11"/>
        <v>0</v>
      </c>
      <c r="I59" s="670">
        <f t="shared" si="11"/>
        <v>0</v>
      </c>
      <c r="J59" s="670">
        <f t="shared" si="11"/>
        <v>0</v>
      </c>
      <c r="K59" s="670">
        <f t="shared" si="11"/>
        <v>0</v>
      </c>
      <c r="L59" s="670">
        <f t="shared" si="11"/>
        <v>0</v>
      </c>
      <c r="M59" s="670">
        <f t="shared" si="11"/>
        <v>0</v>
      </c>
      <c r="N59" s="670">
        <f t="shared" si="11"/>
        <v>0</v>
      </c>
      <c r="O59" s="670">
        <f t="shared" si="11"/>
        <v>0</v>
      </c>
      <c r="P59" s="718"/>
      <c r="Q59" s="718"/>
      <c r="R59" s="718"/>
      <c r="S59" s="718"/>
      <c r="T59" s="718"/>
      <c r="U59" s="718"/>
      <c r="V59" s="718"/>
      <c r="W59" s="718"/>
      <c r="X59" s="718"/>
      <c r="Y59" s="718"/>
      <c r="Z59" s="718"/>
      <c r="AA59" s="718"/>
      <c r="AB59" s="718"/>
      <c r="AC59" s="718"/>
      <c r="AD59" s="718"/>
      <c r="AE59" s="718"/>
      <c r="AF59" s="718"/>
      <c r="AG59" s="718"/>
      <c r="AH59" s="718"/>
    </row>
    <row r="60" spans="1:34" ht="15.6">
      <c r="A60" s="716" t="s">
        <v>600</v>
      </c>
      <c r="B60" s="717"/>
      <c r="C60" s="1040"/>
      <c r="D60" s="1041">
        <f>D59+D57</f>
        <v>0</v>
      </c>
      <c r="E60" s="1041">
        <f t="shared" ref="E60:O60" si="12">E59+E57</f>
        <v>0</v>
      </c>
      <c r="F60" s="1041">
        <f t="shared" si="12"/>
        <v>0</v>
      </c>
      <c r="G60" s="1041">
        <f t="shared" si="12"/>
        <v>0</v>
      </c>
      <c r="H60" s="1041">
        <f t="shared" si="12"/>
        <v>0</v>
      </c>
      <c r="I60" s="1041">
        <f t="shared" si="12"/>
        <v>0</v>
      </c>
      <c r="J60" s="1041">
        <f t="shared" si="12"/>
        <v>0</v>
      </c>
      <c r="K60" s="1041">
        <f t="shared" si="12"/>
        <v>0</v>
      </c>
      <c r="L60" s="1041">
        <f t="shared" si="12"/>
        <v>0</v>
      </c>
      <c r="M60" s="1041">
        <f t="shared" si="12"/>
        <v>0</v>
      </c>
      <c r="N60" s="1041">
        <f t="shared" si="12"/>
        <v>0</v>
      </c>
      <c r="O60" s="1041">
        <f t="shared" si="12"/>
        <v>0</v>
      </c>
      <c r="P60" s="718"/>
      <c r="Q60" s="718"/>
      <c r="R60" s="718"/>
      <c r="S60" s="718"/>
      <c r="T60" s="718"/>
      <c r="U60" s="718"/>
      <c r="V60" s="718"/>
      <c r="W60" s="718"/>
      <c r="X60" s="718"/>
      <c r="Y60" s="718"/>
      <c r="Z60" s="718"/>
      <c r="AA60" s="718"/>
      <c r="AB60" s="718"/>
      <c r="AC60" s="718"/>
      <c r="AD60" s="718"/>
      <c r="AE60" s="718"/>
      <c r="AF60" s="718"/>
      <c r="AG60" s="718"/>
      <c r="AH60" s="718"/>
    </row>
    <row r="61" spans="1:34" ht="16.5" customHeight="1">
      <c r="A61" s="718"/>
      <c r="B61" s="757"/>
      <c r="C61" s="718"/>
      <c r="D61" s="656" t="str">
        <f>IF(OR(-D57&gt;D59,-E57&gt;E59,-F57&gt;F59),"Kreditrahmen überzogen!","")</f>
        <v/>
      </c>
      <c r="E61" s="718"/>
      <c r="F61" s="718"/>
      <c r="G61" s="656" t="str">
        <f>IF(OR(-G57&gt;G59,-H57&gt;H59,-I57&gt;I59),"Kreditrahmen überzogen!","")</f>
        <v/>
      </c>
      <c r="H61" s="718"/>
      <c r="I61" s="718"/>
      <c r="J61" s="656" t="str">
        <f>IF(OR(-J57&gt;J59,-K57&gt;K59,-L57&gt;L59),"Kreditrahmen überzogen!","")</f>
        <v/>
      </c>
      <c r="K61" s="718"/>
      <c r="L61" s="718"/>
      <c r="M61" s="656" t="str">
        <f>IF(OR(-M57&gt;M59,-N57&gt;N59,-O57&gt;O59),"Kreditrahmen überzogen!","")</f>
        <v/>
      </c>
      <c r="N61" s="718"/>
      <c r="O61" s="718"/>
      <c r="P61" s="718"/>
      <c r="Q61" s="718"/>
      <c r="R61" s="718"/>
      <c r="S61" s="718"/>
      <c r="T61" s="718"/>
      <c r="U61" s="718"/>
      <c r="V61" s="718"/>
      <c r="W61" s="718"/>
      <c r="X61" s="718"/>
      <c r="Y61" s="718"/>
      <c r="Z61" s="718"/>
      <c r="AA61" s="718"/>
      <c r="AB61" s="718"/>
      <c r="AC61" s="718"/>
      <c r="AD61" s="718"/>
      <c r="AE61" s="718"/>
      <c r="AF61" s="718"/>
      <c r="AG61" s="718"/>
      <c r="AH61" s="718"/>
    </row>
    <row r="62" spans="1:34">
      <c r="A62" s="718"/>
      <c r="B62" s="757"/>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c r="AE62" s="718"/>
      <c r="AF62" s="718"/>
      <c r="AG62" s="718"/>
      <c r="AH62" s="718"/>
    </row>
    <row r="63" spans="1:34">
      <c r="A63" s="718"/>
      <c r="B63" s="757"/>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c r="AE63" s="718"/>
      <c r="AF63" s="718"/>
      <c r="AG63" s="718"/>
      <c r="AH63" s="718"/>
    </row>
    <row r="64" spans="1:34">
      <c r="A64" s="718"/>
      <c r="B64" s="757"/>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row>
    <row r="65" spans="1:34">
      <c r="A65" s="718"/>
      <c r="B65" s="757"/>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c r="AE65" s="718"/>
      <c r="AF65" s="718"/>
      <c r="AG65" s="718"/>
      <c r="AH65" s="718"/>
    </row>
    <row r="66" spans="1:34">
      <c r="A66" s="718"/>
      <c r="B66" s="757"/>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c r="AE66" s="718"/>
      <c r="AF66" s="718"/>
      <c r="AG66" s="718"/>
      <c r="AH66" s="718"/>
    </row>
    <row r="67" spans="1:34">
      <c r="A67" s="718"/>
      <c r="B67" s="757"/>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c r="AE67" s="718"/>
      <c r="AF67" s="718"/>
      <c r="AG67" s="718"/>
      <c r="AH67" s="718"/>
    </row>
    <row r="68" spans="1:34">
      <c r="A68" s="718"/>
      <c r="B68" s="757"/>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c r="AE68" s="718"/>
      <c r="AF68" s="718"/>
      <c r="AG68" s="718"/>
      <c r="AH68" s="718"/>
    </row>
    <row r="69" spans="1:34">
      <c r="A69" s="718"/>
      <c r="B69" s="757"/>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c r="AE69" s="718"/>
      <c r="AF69" s="718"/>
      <c r="AG69" s="718"/>
      <c r="AH69" s="718"/>
    </row>
    <row r="70" spans="1:34">
      <c r="A70" s="718"/>
      <c r="B70" s="757"/>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c r="AD70" s="718"/>
      <c r="AE70" s="718"/>
      <c r="AF70" s="718"/>
      <c r="AG70" s="718"/>
      <c r="AH70" s="718"/>
    </row>
    <row r="71" spans="1:34">
      <c r="A71" s="718"/>
      <c r="B71" s="757"/>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c r="AE71" s="718"/>
      <c r="AF71" s="718"/>
      <c r="AG71" s="718"/>
      <c r="AH71" s="718"/>
    </row>
    <row r="72" spans="1:34">
      <c r="A72" s="718"/>
      <c r="B72" s="757"/>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c r="AD72" s="718"/>
      <c r="AE72" s="718"/>
      <c r="AF72" s="718"/>
      <c r="AG72" s="718"/>
      <c r="AH72" s="718"/>
    </row>
    <row r="73" spans="1:34">
      <c r="A73" s="718"/>
      <c r="B73" s="757"/>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row>
    <row r="74" spans="1:34">
      <c r="A74" s="718"/>
      <c r="B74" s="757"/>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c r="AD74" s="718"/>
      <c r="AE74" s="718"/>
      <c r="AF74" s="718"/>
      <c r="AG74" s="718"/>
      <c r="AH74" s="718"/>
    </row>
    <row r="75" spans="1:34">
      <c r="A75" s="718"/>
      <c r="B75" s="757"/>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c r="AE75" s="718"/>
      <c r="AF75" s="718"/>
      <c r="AG75" s="718"/>
      <c r="AH75" s="718"/>
    </row>
    <row r="76" spans="1:34">
      <c r="A76" s="718"/>
      <c r="B76" s="757"/>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c r="AE76" s="718"/>
      <c r="AF76" s="718"/>
      <c r="AG76" s="718"/>
      <c r="AH76" s="718"/>
    </row>
    <row r="77" spans="1:34">
      <c r="A77" s="718"/>
      <c r="B77" s="757"/>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c r="AE77" s="718"/>
      <c r="AF77" s="718"/>
      <c r="AG77" s="718"/>
      <c r="AH77" s="718"/>
    </row>
    <row r="78" spans="1:34">
      <c r="A78" s="718"/>
      <c r="B78" s="757"/>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c r="AD78" s="718"/>
      <c r="AE78" s="718"/>
      <c r="AF78" s="718"/>
      <c r="AG78" s="718"/>
      <c r="AH78" s="718"/>
    </row>
    <row r="79" spans="1:34">
      <c r="A79" s="718"/>
      <c r="B79" s="757"/>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c r="AD79" s="718"/>
      <c r="AE79" s="718"/>
      <c r="AF79" s="718"/>
      <c r="AG79" s="718"/>
      <c r="AH79" s="718"/>
    </row>
    <row r="80" spans="1:34">
      <c r="A80" s="718"/>
      <c r="B80" s="757"/>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c r="AE80" s="718"/>
      <c r="AF80" s="718"/>
      <c r="AG80" s="718"/>
      <c r="AH80" s="718"/>
    </row>
    <row r="81" spans="1:34">
      <c r="A81" s="718"/>
      <c r="B81" s="757"/>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c r="AD81" s="718"/>
      <c r="AE81" s="718"/>
      <c r="AF81" s="718"/>
      <c r="AG81" s="718"/>
      <c r="AH81" s="718"/>
    </row>
    <row r="82" spans="1:34">
      <c r="A82" s="718"/>
      <c r="B82" s="757"/>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8"/>
    </row>
    <row r="83" spans="1:34">
      <c r="A83" s="718"/>
      <c r="B83" s="757"/>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c r="AD83" s="718"/>
      <c r="AE83" s="718"/>
      <c r="AF83" s="718"/>
      <c r="AG83" s="718"/>
      <c r="AH83" s="718"/>
    </row>
    <row r="84" spans="1:34">
      <c r="A84" s="718"/>
      <c r="B84" s="757"/>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c r="AD84" s="718"/>
      <c r="AE84" s="718"/>
      <c r="AF84" s="718"/>
      <c r="AG84" s="718"/>
      <c r="AH84" s="718"/>
    </row>
    <row r="85" spans="1:34">
      <c r="A85" s="718"/>
      <c r="B85" s="757"/>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c r="AE85" s="718"/>
      <c r="AF85" s="718"/>
      <c r="AG85" s="718"/>
      <c r="AH85" s="718"/>
    </row>
    <row r="86" spans="1:34">
      <c r="A86" s="718"/>
      <c r="B86" s="757"/>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c r="AE86" s="718"/>
      <c r="AF86" s="718"/>
      <c r="AG86" s="718"/>
      <c r="AH86" s="718"/>
    </row>
    <row r="87" spans="1:34">
      <c r="A87" s="718"/>
      <c r="B87" s="757"/>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c r="AE87" s="718"/>
      <c r="AF87" s="718"/>
      <c r="AG87" s="718"/>
      <c r="AH87" s="718"/>
    </row>
    <row r="88" spans="1:34">
      <c r="A88" s="718"/>
      <c r="B88" s="757"/>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c r="AE88" s="718"/>
      <c r="AF88" s="718"/>
      <c r="AG88" s="718"/>
      <c r="AH88" s="718"/>
    </row>
    <row r="89" spans="1:34">
      <c r="A89" s="718"/>
      <c r="B89" s="75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row>
    <row r="90" spans="1:34">
      <c r="A90" s="718"/>
      <c r="B90" s="757"/>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c r="AE90" s="718"/>
      <c r="AF90" s="718"/>
      <c r="AG90" s="718"/>
      <c r="AH90" s="718"/>
    </row>
    <row r="91" spans="1:34">
      <c r="A91" s="718"/>
      <c r="B91" s="757"/>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c r="AE91" s="718"/>
      <c r="AF91" s="718"/>
      <c r="AG91" s="718"/>
      <c r="AH91" s="718"/>
    </row>
    <row r="92" spans="1:34">
      <c r="A92" s="718"/>
      <c r="B92" s="757"/>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8"/>
    </row>
    <row r="93" spans="1:34">
      <c r="A93" s="718"/>
      <c r="B93" s="757"/>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c r="AE93" s="718"/>
      <c r="AF93" s="718"/>
      <c r="AG93" s="718"/>
      <c r="AH93" s="718"/>
    </row>
    <row r="94" spans="1:34">
      <c r="A94" s="718"/>
      <c r="B94" s="757"/>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c r="AE94" s="718"/>
      <c r="AF94" s="718"/>
      <c r="AG94" s="718"/>
      <c r="AH94" s="718"/>
    </row>
    <row r="95" spans="1:34">
      <c r="A95" s="718"/>
      <c r="B95" s="757"/>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c r="AE95" s="718"/>
      <c r="AF95" s="718"/>
      <c r="AG95" s="718"/>
      <c r="AH95" s="718"/>
    </row>
    <row r="96" spans="1:34">
      <c r="A96" s="718"/>
      <c r="B96" s="757"/>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c r="AE96" s="718"/>
      <c r="AF96" s="718"/>
      <c r="AG96" s="718"/>
      <c r="AH96" s="718"/>
    </row>
    <row r="97" spans="1:34">
      <c r="A97" s="718"/>
      <c r="B97" s="757"/>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row>
    <row r="98" spans="1:34">
      <c r="A98" s="718"/>
      <c r="B98" s="757"/>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row>
    <row r="99" spans="1:34">
      <c r="A99" s="718"/>
      <c r="B99" s="757"/>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c r="AE99" s="718"/>
      <c r="AF99" s="718"/>
      <c r="AG99" s="718"/>
      <c r="AH99" s="718"/>
    </row>
    <row r="100" spans="1:34">
      <c r="A100" s="718"/>
      <c r="B100" s="757"/>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718"/>
      <c r="AH100" s="718"/>
    </row>
    <row r="101" spans="1:34">
      <c r="A101" s="718"/>
      <c r="B101" s="757"/>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c r="AE101" s="718"/>
      <c r="AF101" s="718"/>
      <c r="AG101" s="718"/>
      <c r="AH101" s="718"/>
    </row>
    <row r="102" spans="1:34">
      <c r="A102" s="718"/>
      <c r="B102" s="757"/>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8"/>
    </row>
    <row r="103" spans="1:34">
      <c r="A103" s="718"/>
      <c r="B103" s="757"/>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c r="AE103" s="718"/>
      <c r="AF103" s="718"/>
      <c r="AG103" s="718"/>
      <c r="AH103" s="718"/>
    </row>
    <row r="104" spans="1:34">
      <c r="A104" s="718"/>
      <c r="B104" s="757"/>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c r="AE104" s="718"/>
      <c r="AF104" s="718"/>
      <c r="AG104" s="718"/>
      <c r="AH104" s="718"/>
    </row>
    <row r="105" spans="1:34">
      <c r="A105" s="718"/>
      <c r="B105" s="757"/>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c r="AD105" s="718"/>
      <c r="AE105" s="718"/>
      <c r="AF105" s="718"/>
      <c r="AG105" s="718"/>
      <c r="AH105" s="718"/>
    </row>
    <row r="106" spans="1:34">
      <c r="A106" s="718"/>
      <c r="B106" s="757"/>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c r="AE106" s="718"/>
      <c r="AF106" s="718"/>
      <c r="AG106" s="718"/>
      <c r="AH106" s="718"/>
    </row>
    <row r="107" spans="1:34">
      <c r="A107" s="718"/>
      <c r="B107" s="757"/>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c r="AE107" s="718"/>
      <c r="AF107" s="718"/>
      <c r="AG107" s="718"/>
      <c r="AH107" s="718"/>
    </row>
    <row r="108" spans="1:34">
      <c r="A108" s="718"/>
      <c r="B108" s="757"/>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c r="AE108" s="718"/>
      <c r="AF108" s="718"/>
      <c r="AG108" s="718"/>
      <c r="AH108" s="718"/>
    </row>
    <row r="109" spans="1:34">
      <c r="A109" s="718"/>
      <c r="B109" s="757"/>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c r="AE109" s="718"/>
      <c r="AF109" s="718"/>
      <c r="AG109" s="718"/>
      <c r="AH109" s="718"/>
    </row>
    <row r="110" spans="1:34">
      <c r="A110" s="718"/>
      <c r="B110" s="757"/>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c r="AE110" s="718"/>
      <c r="AF110" s="718"/>
      <c r="AG110" s="718"/>
      <c r="AH110" s="718"/>
    </row>
    <row r="111" spans="1:34">
      <c r="A111" s="718"/>
      <c r="B111" s="757"/>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c r="AD111" s="718"/>
      <c r="AE111" s="718"/>
      <c r="AF111" s="718"/>
      <c r="AG111" s="718"/>
      <c r="AH111" s="718"/>
    </row>
    <row r="112" spans="1:34">
      <c r="A112" s="718"/>
      <c r="B112" s="757"/>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c r="AE112" s="718"/>
      <c r="AF112" s="718"/>
      <c r="AG112" s="718"/>
      <c r="AH112" s="718"/>
    </row>
    <row r="113" spans="1:34">
      <c r="A113" s="718"/>
      <c r="B113" s="757"/>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c r="AE113" s="718"/>
      <c r="AF113" s="718"/>
      <c r="AG113" s="718"/>
      <c r="AH113" s="718"/>
    </row>
    <row r="114" spans="1:34">
      <c r="A114" s="718"/>
      <c r="B114" s="757"/>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row>
    <row r="115" spans="1:34">
      <c r="A115" s="718"/>
      <c r="B115" s="757"/>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c r="AD115" s="718"/>
      <c r="AE115" s="718"/>
      <c r="AF115" s="718"/>
      <c r="AG115" s="718"/>
      <c r="AH115" s="718"/>
    </row>
    <row r="116" spans="1:34">
      <c r="A116" s="718"/>
      <c r="B116" s="757"/>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c r="AE116" s="718"/>
      <c r="AF116" s="718"/>
      <c r="AG116" s="718"/>
      <c r="AH116" s="718"/>
    </row>
    <row r="117" spans="1:34">
      <c r="A117" s="718"/>
      <c r="B117" s="757"/>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c r="AE117" s="718"/>
      <c r="AF117" s="718"/>
      <c r="AG117" s="718"/>
      <c r="AH117" s="718"/>
    </row>
    <row r="118" spans="1:34">
      <c r="A118" s="718"/>
      <c r="B118" s="757"/>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c r="AD118" s="718"/>
      <c r="AE118" s="718"/>
      <c r="AF118" s="718"/>
      <c r="AG118" s="718"/>
      <c r="AH118" s="718"/>
    </row>
    <row r="119" spans="1:34">
      <c r="A119" s="718"/>
      <c r="B119" s="757"/>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8"/>
      <c r="AE119" s="718"/>
      <c r="AF119" s="718"/>
      <c r="AG119" s="718"/>
      <c r="AH119" s="718"/>
    </row>
    <row r="120" spans="1:34">
      <c r="A120" s="718"/>
      <c r="B120" s="757"/>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c r="AD120" s="718"/>
      <c r="AE120" s="718"/>
      <c r="AF120" s="718"/>
      <c r="AG120" s="718"/>
      <c r="AH120" s="718"/>
    </row>
    <row r="121" spans="1:34">
      <c r="A121" s="718"/>
      <c r="B121" s="757"/>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c r="AD121" s="718"/>
      <c r="AE121" s="718"/>
      <c r="AF121" s="718"/>
      <c r="AG121" s="718"/>
      <c r="AH121" s="718"/>
    </row>
    <row r="122" spans="1:34">
      <c r="A122" s="718"/>
      <c r="B122" s="757"/>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c r="AE122" s="718"/>
      <c r="AF122" s="718"/>
      <c r="AG122" s="718"/>
      <c r="AH122" s="718"/>
    </row>
    <row r="123" spans="1:34">
      <c r="A123" s="718"/>
      <c r="B123" s="757"/>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c r="AD123" s="718"/>
      <c r="AE123" s="718"/>
      <c r="AF123" s="718"/>
      <c r="AG123" s="718"/>
      <c r="AH123" s="718"/>
    </row>
    <row r="124" spans="1:34">
      <c r="A124" s="718"/>
      <c r="B124" s="757"/>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c r="AE124" s="718"/>
      <c r="AF124" s="718"/>
      <c r="AG124" s="718"/>
      <c r="AH124" s="718"/>
    </row>
    <row r="125" spans="1:34">
      <c r="A125" s="718"/>
      <c r="B125" s="757"/>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c r="AE125" s="718"/>
      <c r="AF125" s="718"/>
      <c r="AG125" s="718"/>
      <c r="AH125" s="718"/>
    </row>
    <row r="126" spans="1:34">
      <c r="A126" s="718"/>
      <c r="B126" s="757"/>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c r="AE126" s="718"/>
      <c r="AF126" s="718"/>
      <c r="AG126" s="718"/>
      <c r="AH126" s="718"/>
    </row>
    <row r="127" spans="1:34">
      <c r="A127" s="718"/>
      <c r="B127" s="757"/>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c r="AE127" s="718"/>
      <c r="AF127" s="718"/>
      <c r="AG127" s="718"/>
      <c r="AH127" s="718"/>
    </row>
    <row r="128" spans="1:34">
      <c r="A128" s="718"/>
      <c r="B128" s="757"/>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c r="AE128" s="718"/>
      <c r="AF128" s="718"/>
      <c r="AG128" s="718"/>
      <c r="AH128" s="718"/>
    </row>
    <row r="129" spans="1:34">
      <c r="A129" s="718"/>
      <c r="B129" s="757"/>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c r="AE129" s="718"/>
      <c r="AF129" s="718"/>
      <c r="AG129" s="718"/>
      <c r="AH129" s="718"/>
    </row>
    <row r="130" spans="1:34">
      <c r="A130" s="718"/>
      <c r="B130" s="757"/>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c r="AE130" s="718"/>
      <c r="AF130" s="718"/>
      <c r="AG130" s="718"/>
      <c r="AH130" s="718"/>
    </row>
    <row r="131" spans="1:34">
      <c r="A131" s="718"/>
      <c r="B131" s="757"/>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c r="AE131" s="718"/>
      <c r="AF131" s="718"/>
      <c r="AG131" s="718"/>
      <c r="AH131" s="718"/>
    </row>
    <row r="132" spans="1:34">
      <c r="A132" s="718"/>
      <c r="B132" s="757"/>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row>
    <row r="133" spans="1:34">
      <c r="A133" s="718"/>
      <c r="B133" s="757"/>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c r="AE133" s="718"/>
      <c r="AF133" s="718"/>
      <c r="AG133" s="718"/>
      <c r="AH133" s="718"/>
    </row>
    <row r="134" spans="1:34">
      <c r="A134" s="718"/>
      <c r="B134" s="757"/>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c r="AE134" s="718"/>
      <c r="AF134" s="718"/>
      <c r="AG134" s="718"/>
      <c r="AH134" s="718"/>
    </row>
    <row r="135" spans="1:34">
      <c r="A135" s="718"/>
      <c r="B135" s="757"/>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c r="AE135" s="718"/>
      <c r="AF135" s="718"/>
      <c r="AG135" s="718"/>
      <c r="AH135" s="718"/>
    </row>
    <row r="136" spans="1:34">
      <c r="A136" s="718"/>
      <c r="B136" s="757"/>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c r="AE136" s="718"/>
      <c r="AF136" s="718"/>
      <c r="AG136" s="718"/>
      <c r="AH136" s="718"/>
    </row>
    <row r="137" spans="1:34">
      <c r="A137" s="718"/>
      <c r="B137" s="757"/>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c r="AE137" s="718"/>
      <c r="AF137" s="718"/>
      <c r="AG137" s="718"/>
      <c r="AH137" s="718"/>
    </row>
    <row r="138" spans="1:34">
      <c r="A138" s="718"/>
      <c r="B138" s="757"/>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c r="AE138" s="718"/>
      <c r="AF138" s="718"/>
      <c r="AG138" s="718"/>
      <c r="AH138" s="718"/>
    </row>
    <row r="139" spans="1:34">
      <c r="A139" s="718"/>
      <c r="B139" s="757"/>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c r="AE139" s="718"/>
      <c r="AF139" s="718"/>
      <c r="AG139" s="718"/>
      <c r="AH139" s="718"/>
    </row>
    <row r="140" spans="1:34">
      <c r="A140" s="718"/>
      <c r="B140" s="757"/>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c r="AE140" s="718"/>
      <c r="AF140" s="718"/>
      <c r="AG140" s="718"/>
      <c r="AH140" s="718"/>
    </row>
    <row r="141" spans="1:34">
      <c r="A141" s="718"/>
      <c r="B141" s="757"/>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c r="AD141" s="718"/>
      <c r="AE141" s="718"/>
      <c r="AF141" s="718"/>
      <c r="AG141" s="718"/>
      <c r="AH141" s="718"/>
    </row>
    <row r="142" spans="1:34">
      <c r="A142" s="718"/>
      <c r="B142" s="757"/>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c r="AD142" s="718"/>
      <c r="AE142" s="718"/>
      <c r="AF142" s="718"/>
      <c r="AG142" s="718"/>
      <c r="AH142" s="718"/>
    </row>
    <row r="143" spans="1:34">
      <c r="A143" s="718"/>
      <c r="B143" s="757"/>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c r="AD143" s="718"/>
      <c r="AE143" s="718"/>
      <c r="AF143" s="718"/>
      <c r="AG143" s="718"/>
      <c r="AH143" s="718"/>
    </row>
    <row r="144" spans="1:34">
      <c r="A144" s="718"/>
      <c r="B144" s="757"/>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c r="AE144" s="718"/>
      <c r="AF144" s="718"/>
      <c r="AG144" s="718"/>
      <c r="AH144" s="718"/>
    </row>
    <row r="145" spans="1:34">
      <c r="A145" s="718"/>
      <c r="B145" s="757"/>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c r="AD145" s="718"/>
      <c r="AE145" s="718"/>
      <c r="AF145" s="718"/>
      <c r="AG145" s="718"/>
      <c r="AH145" s="718"/>
    </row>
    <row r="146" spans="1:34">
      <c r="A146" s="718"/>
      <c r="B146" s="757"/>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c r="AD146" s="718"/>
      <c r="AE146" s="718"/>
      <c r="AF146" s="718"/>
      <c r="AG146" s="718"/>
      <c r="AH146" s="718"/>
    </row>
    <row r="147" spans="1:34">
      <c r="A147" s="718"/>
      <c r="B147" s="757"/>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c r="AE147" s="718"/>
      <c r="AF147" s="718"/>
      <c r="AG147" s="718"/>
      <c r="AH147" s="718"/>
    </row>
    <row r="148" spans="1:34">
      <c r="A148" s="718"/>
      <c r="B148" s="757"/>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row>
    <row r="149" spans="1:34">
      <c r="A149" s="718"/>
      <c r="B149" s="757"/>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c r="AD149" s="718"/>
      <c r="AE149" s="718"/>
      <c r="AF149" s="718"/>
      <c r="AG149" s="718"/>
      <c r="AH149" s="718"/>
    </row>
    <row r="150" spans="1:34">
      <c r="A150" s="718"/>
      <c r="B150" s="757"/>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c r="AD150" s="718"/>
      <c r="AE150" s="718"/>
      <c r="AF150" s="718"/>
      <c r="AG150" s="718"/>
      <c r="AH150" s="718"/>
    </row>
    <row r="151" spans="1:34">
      <c r="A151" s="718"/>
      <c r="B151" s="757"/>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c r="AD151" s="718"/>
      <c r="AE151" s="718"/>
      <c r="AF151" s="718"/>
      <c r="AG151" s="718"/>
      <c r="AH151" s="718"/>
    </row>
    <row r="152" spans="1:34">
      <c r="A152" s="718"/>
      <c r="B152" s="757"/>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c r="AD152" s="718"/>
      <c r="AE152" s="718"/>
      <c r="AF152" s="718"/>
      <c r="AG152" s="718"/>
      <c r="AH152" s="718"/>
    </row>
    <row r="153" spans="1:34">
      <c r="A153" s="718"/>
      <c r="B153" s="757"/>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c r="AD153" s="718"/>
      <c r="AE153" s="718"/>
      <c r="AF153" s="718"/>
      <c r="AG153" s="718"/>
      <c r="AH153" s="718"/>
    </row>
    <row r="154" spans="1:34">
      <c r="A154" s="718"/>
      <c r="B154" s="757"/>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c r="AD154" s="718"/>
      <c r="AE154" s="718"/>
      <c r="AF154" s="718"/>
      <c r="AG154" s="718"/>
      <c r="AH154" s="718"/>
    </row>
    <row r="155" spans="1:34">
      <c r="A155" s="718"/>
      <c r="B155" s="757"/>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c r="AD155" s="718"/>
      <c r="AE155" s="718"/>
      <c r="AF155" s="718"/>
      <c r="AG155" s="718"/>
      <c r="AH155" s="718"/>
    </row>
    <row r="156" spans="1:34">
      <c r="A156" s="718"/>
      <c r="B156" s="757"/>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c r="AD156" s="718"/>
      <c r="AE156" s="718"/>
      <c r="AF156" s="718"/>
      <c r="AG156" s="718"/>
      <c r="AH156" s="718"/>
    </row>
    <row r="157" spans="1:34">
      <c r="A157" s="718"/>
      <c r="B157" s="757"/>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c r="AD157" s="718"/>
      <c r="AE157" s="718"/>
      <c r="AF157" s="718"/>
      <c r="AG157" s="718"/>
      <c r="AH157" s="718"/>
    </row>
    <row r="158" spans="1:34">
      <c r="A158" s="718"/>
      <c r="B158" s="757"/>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c r="AD158" s="718"/>
      <c r="AE158" s="718"/>
      <c r="AF158" s="718"/>
      <c r="AG158" s="718"/>
      <c r="AH158" s="718"/>
    </row>
    <row r="159" spans="1:34">
      <c r="A159" s="718"/>
      <c r="B159" s="757"/>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row>
    <row r="160" spans="1:34">
      <c r="A160" s="718"/>
      <c r="B160" s="757"/>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c r="AD160" s="718"/>
      <c r="AE160" s="718"/>
      <c r="AF160" s="718"/>
      <c r="AG160" s="718"/>
      <c r="AH160" s="718"/>
    </row>
    <row r="161" spans="1:34">
      <c r="A161" s="718"/>
      <c r="B161" s="757"/>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row>
    <row r="162" spans="1:34">
      <c r="A162" s="718"/>
      <c r="B162" s="757"/>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row>
    <row r="163" spans="1:34">
      <c r="A163" s="718"/>
      <c r="B163" s="757"/>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c r="AE163" s="718"/>
      <c r="AF163" s="718"/>
      <c r="AG163" s="718"/>
      <c r="AH163" s="718"/>
    </row>
    <row r="164" spans="1:34">
      <c r="A164" s="718"/>
      <c r="B164" s="757"/>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c r="AE164" s="718"/>
      <c r="AF164" s="718"/>
      <c r="AG164" s="718"/>
      <c r="AH164" s="718"/>
    </row>
    <row r="165" spans="1:34">
      <c r="A165" s="718"/>
      <c r="B165" s="757"/>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c r="AE165" s="718"/>
      <c r="AF165" s="718"/>
      <c r="AG165" s="718"/>
      <c r="AH165" s="718"/>
    </row>
    <row r="166" spans="1:34">
      <c r="A166" s="718"/>
      <c r="B166" s="757"/>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row>
    <row r="167" spans="1:34">
      <c r="A167" s="718"/>
      <c r="B167" s="757"/>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c r="AD167" s="718"/>
      <c r="AE167" s="718"/>
      <c r="AF167" s="718"/>
      <c r="AG167" s="718"/>
      <c r="AH167" s="718"/>
    </row>
    <row r="168" spans="1:34">
      <c r="A168" s="718"/>
      <c r="B168" s="757"/>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row>
    <row r="169" spans="1:34">
      <c r="A169" s="718"/>
      <c r="B169" s="757"/>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c r="AD169" s="718"/>
      <c r="AE169" s="718"/>
      <c r="AF169" s="718"/>
      <c r="AG169" s="718"/>
      <c r="AH169" s="718"/>
    </row>
  </sheetData>
  <sheetProtection password="EAD7" sheet="1" objects="1" scenarios="1"/>
  <mergeCells count="3">
    <mergeCell ref="O5:P5"/>
    <mergeCell ref="D2:E2"/>
    <mergeCell ref="I16:J16"/>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200-000000000000}"/>
    <dataValidation type="custom" showInputMessage="1" showErrorMessage="1" errorTitle="Manuelle Bearbeitung deaktiviert" error="Wenn Sie die vorgeschlagenen Werte überschreiben wollen, aktivieren Sie oben die manuelle Bearbeitung, indem Sie &quot;ja&quot; eingeben!" sqref="C49:C50 C20:O20 D14:O14 D24:O51" xr:uid="{00000000-0002-0000-1200-000001000000}">
      <formula1>$B$2="ja"</formula1>
    </dataValidation>
  </dataValidations>
  <hyperlinks>
    <hyperlink ref="D2:E2" location="Startseite!C7" display="zurück zur Startseite" xr:uid="{00000000-0004-0000-1200-000000000000}"/>
  </hyperlinks>
  <pageMargins left="0.82677165354330717" right="0" top="1.2598425196850394" bottom="0.23622047244094491" header="0.19685039370078741" footer="0.23622047244094491"/>
  <pageSetup paperSize="9" scale="44" orientation="landscape" blackAndWhite="1" r:id="rId1"/>
  <headerFooter alignWithMargins="0">
    <oddFooter>&amp;L&amp;D&amp;RCopyright: Handwerkskammer Düsseldorf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sheetPr>
  <dimension ref="A1:V311"/>
  <sheetViews>
    <sheetView showGridLines="0" zoomScaleNormal="100" zoomScaleSheetLayoutView="89" workbookViewId="0">
      <selection activeCell="I2" sqref="I2"/>
    </sheetView>
  </sheetViews>
  <sheetFormatPr baseColWidth="10" defaultColWidth="11.44140625" defaultRowHeight="13.2"/>
  <cols>
    <col min="1" max="1" width="11.33203125" style="2" customWidth="1"/>
    <col min="2" max="8" width="11.44140625" style="2" customWidth="1"/>
    <col min="9" max="9" width="18.33203125" style="2" customWidth="1"/>
    <col min="10" max="16384" width="11.44140625" style="2"/>
  </cols>
  <sheetData>
    <row r="1" spans="1:22">
      <c r="A1" s="63"/>
      <c r="B1" s="63"/>
      <c r="C1" s="63"/>
      <c r="D1" s="63"/>
      <c r="E1" s="63"/>
      <c r="F1" s="63"/>
      <c r="G1" s="63"/>
      <c r="H1" s="63"/>
      <c r="I1" s="63"/>
      <c r="J1" s="63"/>
      <c r="K1" s="63"/>
      <c r="L1" s="63"/>
      <c r="M1" s="63"/>
      <c r="N1" s="63"/>
      <c r="O1" s="63"/>
      <c r="P1" s="63"/>
      <c r="Q1" s="63"/>
      <c r="R1" s="63"/>
      <c r="S1" s="63"/>
      <c r="T1" s="63"/>
      <c r="U1" s="63"/>
      <c r="V1" s="63"/>
    </row>
    <row r="2" spans="1:22">
      <c r="A2" s="63"/>
      <c r="B2" s="63"/>
      <c r="C2" s="63"/>
      <c r="D2" s="63"/>
      <c r="E2" s="63"/>
      <c r="F2" s="63"/>
      <c r="G2" s="63"/>
      <c r="H2" s="63"/>
      <c r="I2" s="931" t="s">
        <v>502</v>
      </c>
      <c r="J2" s="63"/>
      <c r="K2" s="63"/>
      <c r="L2" s="63"/>
      <c r="M2" s="63"/>
      <c r="N2" s="63"/>
      <c r="O2" s="63"/>
      <c r="P2" s="63"/>
      <c r="Q2" s="63"/>
      <c r="R2" s="63"/>
      <c r="S2" s="63"/>
      <c r="T2" s="63"/>
      <c r="U2" s="63"/>
      <c r="V2" s="63"/>
    </row>
    <row r="3" spans="1:22">
      <c r="A3" s="63"/>
      <c r="B3" s="63"/>
      <c r="C3" s="63"/>
      <c r="D3" s="63"/>
      <c r="E3" s="63"/>
      <c r="F3" s="63"/>
      <c r="G3" s="63"/>
      <c r="H3" s="63"/>
      <c r="I3" s="63"/>
      <c r="J3" s="63"/>
      <c r="K3" s="63"/>
      <c r="L3" s="63"/>
      <c r="M3" s="63"/>
      <c r="N3" s="63"/>
      <c r="O3" s="63"/>
      <c r="P3" s="63"/>
      <c r="Q3" s="63"/>
      <c r="R3" s="63"/>
      <c r="S3" s="63"/>
      <c r="T3" s="63"/>
      <c r="U3" s="63"/>
      <c r="V3" s="63"/>
    </row>
    <row r="4" spans="1:22">
      <c r="A4" s="63"/>
      <c r="B4" s="63"/>
      <c r="C4" s="63"/>
      <c r="D4" s="63"/>
      <c r="E4" s="63"/>
      <c r="F4" s="63"/>
      <c r="G4" s="63"/>
      <c r="H4" s="63"/>
      <c r="I4" s="63"/>
      <c r="J4" s="63"/>
      <c r="K4" s="63"/>
      <c r="L4" s="63"/>
      <c r="M4" s="63"/>
      <c r="N4" s="63"/>
      <c r="O4" s="63"/>
      <c r="P4" s="63"/>
      <c r="Q4" s="63"/>
      <c r="R4" s="63"/>
      <c r="S4" s="63"/>
      <c r="T4" s="63"/>
      <c r="U4" s="63"/>
      <c r="V4" s="63"/>
    </row>
    <row r="5" spans="1:22">
      <c r="A5" s="63"/>
      <c r="B5" s="63"/>
      <c r="C5" s="63"/>
      <c r="D5" s="63"/>
      <c r="E5" s="63"/>
      <c r="F5" s="63"/>
      <c r="G5" s="63"/>
      <c r="H5" s="63"/>
      <c r="I5" s="63"/>
      <c r="J5" s="63"/>
      <c r="K5" s="63"/>
      <c r="L5" s="63"/>
      <c r="M5" s="63"/>
      <c r="N5" s="63"/>
      <c r="O5" s="63"/>
      <c r="P5" s="63"/>
      <c r="Q5" s="63"/>
      <c r="R5" s="63"/>
      <c r="S5" s="63"/>
      <c r="T5" s="63"/>
      <c r="U5" s="63"/>
      <c r="V5" s="63"/>
    </row>
    <row r="6" spans="1:22">
      <c r="A6" s="63"/>
      <c r="B6" s="63"/>
      <c r="C6" s="63"/>
      <c r="D6" s="63"/>
      <c r="E6" s="63"/>
      <c r="F6" s="63"/>
      <c r="G6" s="63"/>
      <c r="H6" s="63"/>
      <c r="I6" s="63"/>
      <c r="J6" s="63"/>
      <c r="K6" s="63"/>
      <c r="L6" s="63"/>
      <c r="M6" s="63"/>
      <c r="N6" s="63"/>
      <c r="O6" s="63"/>
      <c r="P6" s="63"/>
      <c r="Q6" s="63"/>
      <c r="R6" s="63"/>
      <c r="S6" s="63"/>
      <c r="T6" s="63"/>
      <c r="U6" s="63"/>
      <c r="V6" s="63"/>
    </row>
    <row r="7" spans="1:22">
      <c r="A7" s="63"/>
      <c r="B7" s="63"/>
      <c r="C7" s="63"/>
      <c r="D7" s="63"/>
      <c r="E7" s="63"/>
      <c r="F7" s="63"/>
      <c r="G7" s="63"/>
      <c r="H7" s="63"/>
      <c r="I7" s="63"/>
      <c r="J7" s="63"/>
      <c r="K7" s="63"/>
      <c r="L7" s="63"/>
      <c r="M7" s="63"/>
      <c r="N7" s="63"/>
      <c r="O7" s="63"/>
      <c r="P7" s="63"/>
      <c r="Q7" s="63"/>
      <c r="R7" s="63"/>
      <c r="S7" s="63"/>
      <c r="T7" s="63"/>
      <c r="U7" s="63"/>
      <c r="V7" s="63"/>
    </row>
    <row r="8" spans="1:22">
      <c r="A8" s="63"/>
      <c r="B8" s="63"/>
      <c r="C8" s="63"/>
      <c r="D8" s="63"/>
      <c r="E8" s="63"/>
      <c r="F8" s="63"/>
      <c r="G8" s="63"/>
      <c r="H8" s="63"/>
      <c r="I8" s="63"/>
      <c r="J8" s="551"/>
      <c r="K8" s="63"/>
      <c r="L8" s="63"/>
      <c r="M8" s="63"/>
      <c r="N8" s="63"/>
      <c r="O8" s="63"/>
      <c r="P8" s="63"/>
      <c r="Q8" s="63"/>
      <c r="R8" s="63"/>
      <c r="S8" s="63"/>
      <c r="T8" s="63"/>
      <c r="U8" s="63"/>
      <c r="V8" s="63"/>
    </row>
    <row r="9" spans="1:22">
      <c r="A9" s="63"/>
      <c r="B9" s="63"/>
      <c r="C9" s="63"/>
      <c r="D9" s="63"/>
      <c r="E9" s="63"/>
      <c r="F9" s="63"/>
      <c r="G9" s="63"/>
      <c r="H9" s="63"/>
      <c r="I9" s="63"/>
      <c r="J9" s="63"/>
      <c r="K9" s="63"/>
      <c r="L9" s="63"/>
      <c r="M9" s="63"/>
      <c r="N9" s="63"/>
      <c r="O9" s="63"/>
      <c r="P9" s="63"/>
      <c r="Q9" s="63"/>
      <c r="R9" s="63"/>
      <c r="S9" s="63"/>
      <c r="T9" s="63"/>
      <c r="U9" s="63"/>
      <c r="V9" s="63"/>
    </row>
    <row r="10" spans="1:22">
      <c r="A10" s="63"/>
      <c r="B10" s="63"/>
      <c r="C10" s="63"/>
      <c r="D10" s="63"/>
      <c r="E10" s="63"/>
      <c r="F10" s="63"/>
      <c r="G10" s="63"/>
      <c r="H10" s="63"/>
      <c r="I10" s="63"/>
      <c r="J10" s="63"/>
      <c r="K10" s="63"/>
      <c r="L10" s="63"/>
      <c r="M10" s="63"/>
      <c r="N10" s="63"/>
      <c r="O10" s="63"/>
      <c r="P10" s="63"/>
      <c r="Q10" s="63"/>
      <c r="R10" s="63"/>
      <c r="S10" s="63"/>
      <c r="T10" s="63"/>
      <c r="U10" s="63"/>
      <c r="V10" s="63"/>
    </row>
    <row r="11" spans="1:22">
      <c r="A11" s="63"/>
      <c r="B11" s="63"/>
      <c r="C11" s="63"/>
      <c r="D11" s="63"/>
      <c r="E11" s="63"/>
      <c r="F11" s="63"/>
      <c r="G11" s="63"/>
      <c r="H11" s="63"/>
      <c r="I11" s="930"/>
      <c r="J11" s="63"/>
      <c r="K11" s="63"/>
      <c r="L11" s="63"/>
      <c r="M11" s="63"/>
      <c r="N11" s="63"/>
      <c r="O11" s="63"/>
      <c r="P11" s="63"/>
      <c r="Q11" s="63"/>
      <c r="R11" s="63"/>
      <c r="S11" s="63"/>
      <c r="T11" s="63"/>
      <c r="U11" s="63"/>
      <c r="V11" s="63"/>
    </row>
    <row r="12" spans="1:22">
      <c r="A12" s="63"/>
      <c r="B12" s="63"/>
      <c r="C12" s="63"/>
      <c r="D12" s="63"/>
      <c r="E12" s="63"/>
      <c r="F12" s="63"/>
      <c r="G12" s="63"/>
      <c r="H12" s="63"/>
      <c r="I12" s="63"/>
      <c r="J12" s="63"/>
      <c r="K12" s="63"/>
      <c r="L12" s="63"/>
      <c r="M12" s="63"/>
      <c r="N12" s="63"/>
      <c r="O12" s="63"/>
      <c r="P12" s="63"/>
      <c r="Q12" s="63"/>
      <c r="R12" s="63"/>
      <c r="S12" s="63"/>
      <c r="T12" s="63"/>
      <c r="U12" s="63"/>
      <c r="V12" s="63"/>
    </row>
    <row r="13" spans="1:22">
      <c r="A13" s="63"/>
      <c r="B13" s="63"/>
      <c r="C13" s="63"/>
      <c r="D13" s="63"/>
      <c r="E13" s="63"/>
      <c r="F13" s="63"/>
      <c r="G13" s="63"/>
      <c r="H13" s="63"/>
      <c r="I13" s="63"/>
      <c r="J13" s="63"/>
      <c r="K13" s="63"/>
      <c r="L13" s="63"/>
      <c r="M13" s="63"/>
      <c r="N13" s="63"/>
      <c r="O13" s="63"/>
      <c r="P13" s="63"/>
      <c r="Q13" s="63"/>
      <c r="R13" s="63"/>
      <c r="S13" s="63"/>
      <c r="T13" s="63"/>
      <c r="U13" s="63"/>
      <c r="V13" s="63"/>
    </row>
    <row r="14" spans="1:22">
      <c r="A14" s="63"/>
      <c r="B14" s="63"/>
      <c r="C14" s="63"/>
      <c r="D14" s="63"/>
      <c r="E14" s="63"/>
      <c r="F14" s="63"/>
      <c r="G14" s="63"/>
      <c r="H14" s="63"/>
      <c r="I14" s="63"/>
      <c r="J14" s="63"/>
      <c r="K14" s="63"/>
      <c r="L14" s="63"/>
      <c r="M14" s="63"/>
      <c r="N14" s="63"/>
      <c r="O14" s="63"/>
      <c r="P14" s="63"/>
      <c r="Q14" s="63"/>
      <c r="R14" s="63"/>
      <c r="S14" s="63"/>
      <c r="T14" s="63"/>
      <c r="U14" s="63"/>
      <c r="V14" s="63"/>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63"/>
      <c r="B16" s="63"/>
      <c r="C16" s="63"/>
      <c r="D16" s="63"/>
      <c r="E16" s="63"/>
      <c r="F16" s="63"/>
      <c r="G16" s="63"/>
      <c r="H16" s="63"/>
      <c r="I16" s="63"/>
      <c r="J16" s="63"/>
      <c r="K16" s="63"/>
      <c r="L16" s="63"/>
      <c r="M16" s="63"/>
      <c r="N16" s="63"/>
      <c r="O16" s="63"/>
      <c r="P16" s="63"/>
      <c r="Q16" s="63"/>
      <c r="R16" s="63"/>
      <c r="S16" s="63"/>
      <c r="T16" s="63"/>
      <c r="U16" s="63"/>
      <c r="V16" s="63"/>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63"/>
      <c r="B18" s="63"/>
      <c r="C18" s="63"/>
      <c r="D18" s="63"/>
      <c r="E18" s="63"/>
      <c r="F18" s="63"/>
      <c r="G18" s="63"/>
      <c r="H18" s="63"/>
      <c r="I18" s="63"/>
      <c r="J18" s="63"/>
      <c r="K18" s="63"/>
      <c r="L18" s="63"/>
      <c r="M18" s="63"/>
      <c r="N18" s="63"/>
      <c r="O18" s="63"/>
      <c r="P18" s="63"/>
      <c r="Q18" s="63"/>
      <c r="R18" s="63"/>
      <c r="S18" s="63"/>
      <c r="T18" s="63"/>
      <c r="U18" s="63"/>
      <c r="V18" s="63"/>
    </row>
    <row r="19" spans="1:22">
      <c r="A19" s="63"/>
      <c r="B19" s="63"/>
      <c r="C19" s="63"/>
      <c r="D19" s="63"/>
      <c r="E19" s="63"/>
      <c r="F19" s="63"/>
      <c r="G19" s="63"/>
      <c r="H19" s="63"/>
      <c r="I19" s="63"/>
      <c r="J19" s="63"/>
      <c r="K19" s="63"/>
      <c r="L19" s="63"/>
      <c r="M19" s="63"/>
      <c r="N19" s="63"/>
      <c r="O19" s="63"/>
      <c r="P19" s="63"/>
      <c r="Q19" s="63"/>
      <c r="R19" s="63"/>
      <c r="S19" s="63"/>
      <c r="T19" s="63"/>
      <c r="U19" s="63"/>
      <c r="V19" s="63"/>
    </row>
    <row r="20" spans="1:22">
      <c r="A20" s="63"/>
      <c r="B20" s="63"/>
      <c r="C20" s="63"/>
      <c r="D20" s="63"/>
      <c r="E20" s="63"/>
      <c r="F20" s="63"/>
      <c r="G20" s="63"/>
      <c r="H20" s="63"/>
      <c r="I20" s="63"/>
      <c r="J20" s="63"/>
      <c r="K20" s="63"/>
      <c r="L20" s="63"/>
      <c r="M20" s="63"/>
      <c r="N20" s="63"/>
      <c r="O20" s="63"/>
      <c r="P20" s="63"/>
      <c r="Q20" s="63"/>
      <c r="R20" s="63"/>
      <c r="S20" s="63"/>
      <c r="T20" s="63"/>
      <c r="U20" s="63"/>
      <c r="V20" s="63"/>
    </row>
    <row r="21" spans="1:22">
      <c r="A21" s="63"/>
      <c r="B21" s="63"/>
      <c r="C21" s="63"/>
      <c r="D21" s="63"/>
      <c r="E21" s="63"/>
      <c r="F21" s="63"/>
      <c r="G21" s="63"/>
      <c r="H21" s="63"/>
      <c r="I21" s="63"/>
      <c r="J21" s="63"/>
      <c r="K21" s="63"/>
      <c r="L21" s="63"/>
      <c r="M21" s="63"/>
      <c r="N21" s="63"/>
      <c r="O21" s="63"/>
      <c r="P21" s="63"/>
      <c r="Q21" s="63"/>
      <c r="R21" s="63"/>
      <c r="S21" s="63"/>
      <c r="T21" s="63"/>
      <c r="U21" s="63"/>
      <c r="V21" s="63"/>
    </row>
    <row r="22" spans="1:22">
      <c r="A22" s="63"/>
      <c r="B22" s="63"/>
      <c r="C22" s="63"/>
      <c r="D22" s="63"/>
      <c r="E22" s="63"/>
      <c r="F22" s="63"/>
      <c r="G22" s="63"/>
      <c r="H22" s="63"/>
      <c r="I22" s="63"/>
      <c r="J22" s="63"/>
      <c r="K22" s="63"/>
      <c r="L22" s="63"/>
      <c r="M22" s="63"/>
      <c r="N22" s="63"/>
      <c r="O22" s="63"/>
      <c r="P22" s="63"/>
      <c r="Q22" s="63"/>
      <c r="R22" s="63"/>
      <c r="S22" s="63"/>
      <c r="T22" s="63"/>
      <c r="U22" s="63"/>
      <c r="V22" s="63"/>
    </row>
    <row r="23" spans="1:22">
      <c r="A23" s="63"/>
      <c r="B23" s="63"/>
      <c r="C23" s="63"/>
      <c r="D23" s="63"/>
      <c r="E23" s="63"/>
      <c r="F23" s="63"/>
      <c r="G23" s="63"/>
      <c r="H23" s="63"/>
      <c r="I23" s="63"/>
      <c r="J23" s="63"/>
      <c r="K23" s="63"/>
      <c r="L23" s="63"/>
      <c r="M23" s="63"/>
      <c r="N23" s="63"/>
      <c r="O23" s="63"/>
      <c r="P23" s="63"/>
      <c r="Q23" s="63"/>
      <c r="R23" s="63"/>
      <c r="S23" s="63"/>
      <c r="T23" s="63"/>
      <c r="U23" s="63"/>
      <c r="V23" s="63"/>
    </row>
    <row r="24" spans="1:22">
      <c r="A24" s="63"/>
      <c r="B24" s="63"/>
      <c r="C24" s="63"/>
      <c r="D24" s="63"/>
      <c r="E24" s="63"/>
      <c r="F24" s="63"/>
      <c r="G24" s="63"/>
      <c r="H24" s="63"/>
      <c r="I24" s="63"/>
      <c r="J24" s="63"/>
      <c r="K24" s="63"/>
      <c r="L24" s="63"/>
      <c r="M24" s="63"/>
      <c r="N24" s="63"/>
      <c r="O24" s="63"/>
      <c r="P24" s="63"/>
      <c r="Q24" s="63"/>
      <c r="R24" s="63"/>
      <c r="S24" s="63"/>
      <c r="T24" s="63"/>
      <c r="U24" s="63"/>
      <c r="V24" s="63"/>
    </row>
    <row r="25" spans="1:22">
      <c r="A25" s="63"/>
      <c r="B25" s="63"/>
      <c r="C25" s="63"/>
      <c r="D25" s="63"/>
      <c r="E25" s="63"/>
      <c r="F25" s="63"/>
      <c r="G25" s="63"/>
      <c r="H25" s="63"/>
      <c r="I25" s="63"/>
      <c r="J25" s="63"/>
      <c r="K25" s="63"/>
      <c r="L25" s="63"/>
      <c r="M25" s="63"/>
      <c r="N25" s="63"/>
      <c r="O25" s="63"/>
      <c r="P25" s="63"/>
      <c r="Q25" s="63"/>
      <c r="R25" s="63"/>
      <c r="S25" s="63"/>
      <c r="T25" s="63"/>
      <c r="U25" s="63"/>
      <c r="V25" s="63"/>
    </row>
    <row r="26" spans="1:22">
      <c r="A26" s="63"/>
      <c r="B26" s="63"/>
      <c r="C26" s="63"/>
      <c r="D26" s="63"/>
      <c r="E26" s="63"/>
      <c r="F26" s="63"/>
      <c r="G26" s="63"/>
      <c r="H26" s="63"/>
      <c r="I26" s="63"/>
      <c r="J26" s="63"/>
      <c r="K26" s="63"/>
      <c r="L26" s="63"/>
      <c r="M26" s="63"/>
      <c r="N26" s="63"/>
      <c r="O26" s="63"/>
      <c r="P26" s="63"/>
      <c r="Q26" s="63"/>
      <c r="R26" s="63"/>
      <c r="S26" s="63"/>
      <c r="T26" s="63"/>
      <c r="U26" s="63"/>
      <c r="V26" s="63"/>
    </row>
    <row r="27" spans="1:22">
      <c r="A27" s="63"/>
      <c r="B27" s="63"/>
      <c r="C27" s="63"/>
      <c r="D27" s="63"/>
      <c r="E27" s="63"/>
      <c r="F27" s="63"/>
      <c r="G27" s="63"/>
      <c r="H27" s="63"/>
      <c r="I27" s="63"/>
      <c r="J27" s="63"/>
      <c r="K27" s="63"/>
      <c r="L27" s="63"/>
      <c r="M27" s="63"/>
      <c r="N27" s="63"/>
      <c r="O27" s="63"/>
      <c r="P27" s="63"/>
      <c r="Q27" s="63"/>
      <c r="R27" s="63"/>
      <c r="S27" s="63"/>
      <c r="T27" s="63"/>
      <c r="U27" s="63"/>
      <c r="V27" s="63"/>
    </row>
    <row r="28" spans="1:22">
      <c r="A28" s="63"/>
      <c r="B28" s="63"/>
      <c r="C28" s="63"/>
      <c r="D28" s="63"/>
      <c r="E28" s="63"/>
      <c r="F28" s="63"/>
      <c r="G28" s="63"/>
      <c r="H28" s="63"/>
      <c r="I28" s="63"/>
      <c r="J28" s="63"/>
      <c r="K28" s="63"/>
      <c r="L28" s="63"/>
      <c r="M28" s="63"/>
      <c r="N28" s="63"/>
      <c r="O28" s="63"/>
      <c r="P28" s="63"/>
      <c r="Q28" s="63"/>
      <c r="R28" s="63"/>
      <c r="S28" s="63"/>
      <c r="T28" s="63"/>
      <c r="U28" s="63"/>
      <c r="V28" s="63"/>
    </row>
    <row r="29" spans="1:22">
      <c r="A29" s="63"/>
      <c r="B29" s="63"/>
      <c r="C29" s="63"/>
      <c r="D29" s="63"/>
      <c r="E29" s="63"/>
      <c r="F29" s="63"/>
      <c r="G29" s="63"/>
      <c r="H29" s="63"/>
      <c r="I29" s="63"/>
      <c r="J29" s="63"/>
      <c r="K29" s="63"/>
      <c r="L29" s="63"/>
      <c r="M29" s="63"/>
      <c r="N29" s="63"/>
      <c r="O29" s="63"/>
      <c r="P29" s="63"/>
      <c r="Q29" s="63"/>
      <c r="R29" s="63"/>
      <c r="S29" s="63"/>
      <c r="T29" s="63"/>
      <c r="U29" s="63"/>
      <c r="V29" s="63"/>
    </row>
    <row r="30" spans="1:22">
      <c r="A30" s="63"/>
      <c r="B30" s="63"/>
      <c r="C30" s="63"/>
      <c r="D30" s="63"/>
      <c r="E30" s="63"/>
      <c r="F30" s="63"/>
      <c r="G30" s="63"/>
      <c r="H30" s="63"/>
      <c r="I30" s="63"/>
      <c r="J30" s="63"/>
      <c r="K30" s="63"/>
      <c r="L30" s="63"/>
      <c r="M30" s="63"/>
      <c r="N30" s="63"/>
      <c r="O30" s="63"/>
      <c r="P30" s="63"/>
      <c r="Q30" s="63"/>
      <c r="R30" s="63"/>
      <c r="S30" s="63"/>
      <c r="T30" s="63"/>
      <c r="U30" s="63"/>
      <c r="V30" s="63"/>
    </row>
    <row r="31" spans="1:22">
      <c r="A31" s="63"/>
      <c r="B31" s="63"/>
      <c r="C31" s="63"/>
      <c r="D31" s="63"/>
      <c r="E31" s="63"/>
      <c r="F31" s="63"/>
      <c r="G31" s="63"/>
      <c r="H31" s="63"/>
      <c r="I31" s="63"/>
      <c r="J31" s="63"/>
      <c r="K31" s="63"/>
      <c r="L31" s="63"/>
      <c r="M31" s="63"/>
      <c r="N31" s="63"/>
      <c r="O31" s="63"/>
      <c r="P31" s="63"/>
      <c r="Q31" s="63"/>
      <c r="R31" s="63"/>
      <c r="S31" s="63"/>
      <c r="T31" s="63"/>
      <c r="U31" s="63"/>
      <c r="V31" s="63"/>
    </row>
    <row r="32" spans="1:22">
      <c r="A32" s="63"/>
      <c r="B32" s="63"/>
      <c r="C32" s="63"/>
      <c r="D32" s="63"/>
      <c r="E32" s="63"/>
      <c r="F32" s="63"/>
      <c r="G32" s="63"/>
      <c r="H32" s="63"/>
      <c r="I32" s="63"/>
      <c r="J32" s="63"/>
      <c r="K32" s="63"/>
      <c r="L32" s="63"/>
      <c r="M32" s="63"/>
      <c r="N32" s="63"/>
      <c r="O32" s="63"/>
      <c r="P32" s="63"/>
      <c r="Q32" s="63"/>
      <c r="R32" s="63"/>
      <c r="S32" s="63"/>
      <c r="T32" s="63"/>
      <c r="U32" s="63"/>
      <c r="V32" s="63"/>
    </row>
    <row r="33" spans="1:22">
      <c r="A33" s="63"/>
      <c r="B33" s="63"/>
      <c r="C33" s="63"/>
      <c r="D33" s="63"/>
      <c r="E33" s="63"/>
      <c r="F33" s="63"/>
      <c r="G33" s="63"/>
      <c r="H33" s="63"/>
      <c r="I33" s="63"/>
      <c r="J33" s="63"/>
      <c r="K33" s="63"/>
      <c r="L33" s="63"/>
      <c r="M33" s="63"/>
      <c r="N33" s="63"/>
      <c r="O33" s="63"/>
      <c r="P33" s="63"/>
      <c r="Q33" s="63"/>
      <c r="R33" s="63"/>
      <c r="S33" s="63"/>
      <c r="T33" s="63"/>
      <c r="U33" s="63"/>
      <c r="V33" s="63"/>
    </row>
    <row r="34" spans="1:22">
      <c r="A34" s="63"/>
      <c r="B34" s="63"/>
      <c r="C34" s="63"/>
      <c r="D34" s="63"/>
      <c r="E34" s="63"/>
      <c r="F34" s="63"/>
      <c r="G34" s="63"/>
      <c r="H34" s="63"/>
      <c r="I34" s="63"/>
      <c r="J34" s="63"/>
      <c r="K34" s="63"/>
      <c r="L34" s="63"/>
      <c r="M34" s="63"/>
      <c r="N34" s="63"/>
      <c r="O34" s="63"/>
      <c r="P34" s="63"/>
      <c r="Q34" s="63"/>
      <c r="R34" s="63"/>
      <c r="S34" s="63"/>
      <c r="T34" s="63"/>
      <c r="U34" s="63"/>
      <c r="V34" s="63"/>
    </row>
    <row r="35" spans="1:22">
      <c r="A35" s="63"/>
      <c r="B35" s="63"/>
      <c r="C35" s="63"/>
      <c r="D35" s="63"/>
      <c r="E35" s="63"/>
      <c r="F35" s="63"/>
      <c r="G35" s="63"/>
      <c r="H35" s="63"/>
      <c r="I35" s="63"/>
      <c r="J35" s="63"/>
      <c r="K35" s="63"/>
      <c r="L35" s="63"/>
      <c r="M35" s="63"/>
      <c r="N35" s="63"/>
      <c r="O35" s="63"/>
      <c r="P35" s="63"/>
      <c r="Q35" s="63"/>
      <c r="R35" s="63"/>
      <c r="S35" s="63"/>
      <c r="T35" s="63"/>
      <c r="U35" s="63"/>
      <c r="V35" s="63"/>
    </row>
    <row r="36" spans="1:22">
      <c r="A36" s="63"/>
      <c r="B36" s="63"/>
      <c r="C36" s="63"/>
      <c r="D36" s="63"/>
      <c r="E36" s="63"/>
      <c r="F36" s="63"/>
      <c r="G36" s="63"/>
      <c r="H36" s="63"/>
      <c r="I36" s="63"/>
      <c r="J36" s="63"/>
      <c r="K36" s="63"/>
      <c r="L36" s="63"/>
      <c r="M36" s="63"/>
      <c r="N36" s="63"/>
      <c r="O36" s="63"/>
      <c r="P36" s="63"/>
      <c r="Q36" s="63"/>
      <c r="R36" s="63"/>
      <c r="S36" s="63"/>
      <c r="T36" s="63"/>
      <c r="U36" s="63"/>
      <c r="V36" s="63"/>
    </row>
    <row r="37" spans="1:22">
      <c r="A37" s="63"/>
      <c r="B37" s="63"/>
      <c r="C37" s="63"/>
      <c r="D37" s="63"/>
      <c r="E37" s="63"/>
      <c r="F37" s="63"/>
      <c r="G37" s="63"/>
      <c r="H37" s="63"/>
      <c r="I37" s="63"/>
      <c r="J37" s="63"/>
      <c r="K37" s="63"/>
      <c r="L37" s="63"/>
      <c r="M37" s="63"/>
      <c r="N37" s="63"/>
      <c r="O37" s="63"/>
      <c r="P37" s="63"/>
      <c r="Q37" s="63"/>
      <c r="R37" s="63"/>
      <c r="S37" s="63"/>
      <c r="T37" s="63"/>
      <c r="U37" s="63"/>
      <c r="V37" s="63"/>
    </row>
    <row r="38" spans="1:22">
      <c r="A38" s="63"/>
      <c r="B38" s="63"/>
      <c r="C38" s="63"/>
      <c r="D38" s="63"/>
      <c r="E38" s="63"/>
      <c r="F38" s="63"/>
      <c r="G38" s="63"/>
      <c r="H38" s="63"/>
      <c r="I38" s="63"/>
      <c r="J38" s="63"/>
      <c r="K38" s="63"/>
      <c r="L38" s="63"/>
      <c r="M38" s="63"/>
      <c r="N38" s="63"/>
      <c r="O38" s="63"/>
      <c r="P38" s="63"/>
      <c r="Q38" s="63"/>
      <c r="R38" s="63"/>
      <c r="S38" s="63"/>
      <c r="T38" s="63"/>
      <c r="U38" s="63"/>
      <c r="V38" s="63"/>
    </row>
    <row r="39" spans="1:22">
      <c r="A39" s="63"/>
      <c r="B39" s="63"/>
      <c r="C39" s="63"/>
      <c r="D39" s="63"/>
      <c r="E39" s="63"/>
      <c r="F39" s="63"/>
      <c r="G39" s="63"/>
      <c r="H39" s="63"/>
      <c r="I39" s="63"/>
      <c r="J39" s="63"/>
      <c r="K39" s="63"/>
      <c r="L39" s="63"/>
      <c r="M39" s="63"/>
      <c r="N39" s="63"/>
      <c r="O39" s="63"/>
      <c r="P39" s="63"/>
      <c r="Q39" s="63"/>
      <c r="R39" s="63"/>
      <c r="S39" s="63"/>
      <c r="T39" s="63"/>
      <c r="U39" s="63"/>
      <c r="V39" s="63"/>
    </row>
    <row r="40" spans="1:22">
      <c r="A40" s="63"/>
      <c r="B40" s="63"/>
      <c r="C40" s="63"/>
      <c r="D40" s="63"/>
      <c r="E40" s="63"/>
      <c r="F40" s="63"/>
      <c r="G40" s="63"/>
      <c r="H40" s="63"/>
      <c r="I40" s="63"/>
      <c r="J40" s="63"/>
      <c r="K40" s="63"/>
      <c r="L40" s="63"/>
      <c r="M40" s="63"/>
      <c r="N40" s="63"/>
      <c r="O40" s="63"/>
      <c r="P40" s="63"/>
      <c r="Q40" s="63"/>
      <c r="R40" s="63"/>
      <c r="S40" s="63"/>
      <c r="T40" s="63"/>
      <c r="U40" s="63"/>
      <c r="V40" s="63"/>
    </row>
    <row r="41" spans="1:22">
      <c r="A41" s="63"/>
      <c r="B41" s="63"/>
      <c r="C41" s="63"/>
      <c r="D41" s="63"/>
      <c r="E41" s="63"/>
      <c r="F41" s="63"/>
      <c r="G41" s="63"/>
      <c r="H41" s="63"/>
      <c r="I41" s="63"/>
      <c r="J41" s="63"/>
      <c r="K41" s="63"/>
      <c r="L41" s="63"/>
      <c r="M41" s="63"/>
      <c r="N41" s="63"/>
      <c r="O41" s="63"/>
      <c r="P41" s="63"/>
      <c r="Q41" s="63"/>
      <c r="R41" s="63"/>
      <c r="S41" s="63"/>
      <c r="T41" s="63"/>
      <c r="U41" s="63"/>
      <c r="V41" s="63"/>
    </row>
    <row r="42" spans="1:22">
      <c r="A42" s="63"/>
      <c r="B42" s="63"/>
      <c r="C42" s="63"/>
      <c r="D42" s="63"/>
      <c r="E42" s="63"/>
      <c r="F42" s="63"/>
      <c r="G42" s="63"/>
      <c r="H42" s="63"/>
      <c r="I42" s="63"/>
      <c r="J42" s="63"/>
      <c r="K42" s="63"/>
      <c r="L42" s="63"/>
      <c r="M42" s="63"/>
      <c r="N42" s="63"/>
      <c r="O42" s="63"/>
      <c r="P42" s="63"/>
      <c r="Q42" s="63"/>
      <c r="R42" s="63"/>
      <c r="S42" s="63"/>
      <c r="T42" s="63"/>
      <c r="U42" s="63"/>
      <c r="V42" s="63"/>
    </row>
    <row r="43" spans="1:22">
      <c r="A43" s="63"/>
      <c r="B43" s="63"/>
      <c r="C43" s="63"/>
      <c r="D43" s="63"/>
      <c r="E43" s="63"/>
      <c r="F43" s="63"/>
      <c r="G43" s="63"/>
      <c r="H43" s="63"/>
      <c r="I43" s="63"/>
      <c r="J43" s="63"/>
      <c r="K43" s="63"/>
      <c r="L43" s="63"/>
      <c r="M43" s="63"/>
      <c r="N43" s="63"/>
      <c r="O43" s="63"/>
      <c r="P43" s="63"/>
      <c r="Q43" s="63"/>
      <c r="R43" s="63"/>
      <c r="S43" s="63"/>
      <c r="T43" s="63"/>
      <c r="U43" s="63"/>
      <c r="V43" s="63"/>
    </row>
    <row r="44" spans="1:22">
      <c r="A44" s="63"/>
      <c r="B44" s="63"/>
      <c r="C44" s="63"/>
      <c r="D44" s="63"/>
      <c r="E44" s="63"/>
      <c r="F44" s="63"/>
      <c r="G44" s="63"/>
      <c r="H44" s="63"/>
      <c r="I44" s="63"/>
      <c r="J44" s="63"/>
      <c r="K44" s="63"/>
      <c r="L44" s="63"/>
      <c r="M44" s="63"/>
      <c r="N44" s="63"/>
      <c r="O44" s="63"/>
      <c r="P44" s="63"/>
      <c r="Q44" s="63"/>
      <c r="R44" s="63"/>
      <c r="S44" s="63"/>
      <c r="T44" s="63"/>
      <c r="U44" s="63"/>
      <c r="V44" s="63"/>
    </row>
    <row r="45" spans="1:22">
      <c r="A45" s="63"/>
      <c r="B45" s="63"/>
      <c r="C45" s="63"/>
      <c r="D45" s="63"/>
      <c r="E45" s="63"/>
      <c r="F45" s="63"/>
      <c r="G45" s="63"/>
      <c r="H45" s="63"/>
      <c r="I45" s="63"/>
      <c r="J45" s="63"/>
      <c r="K45" s="63"/>
      <c r="L45" s="63"/>
      <c r="M45" s="63"/>
      <c r="N45" s="63"/>
      <c r="O45" s="63"/>
      <c r="P45" s="63"/>
      <c r="Q45" s="63"/>
      <c r="R45" s="63"/>
      <c r="S45" s="63"/>
      <c r="T45" s="63"/>
      <c r="U45" s="63"/>
      <c r="V45" s="63"/>
    </row>
    <row r="46" spans="1:22">
      <c r="A46" s="63"/>
      <c r="B46" s="63"/>
      <c r="C46" s="63"/>
      <c r="D46" s="63"/>
      <c r="E46" s="63"/>
      <c r="F46" s="63"/>
      <c r="G46" s="63"/>
      <c r="H46" s="63"/>
      <c r="I46" s="63"/>
      <c r="J46" s="63"/>
      <c r="K46" s="63"/>
      <c r="L46" s="63"/>
      <c r="M46" s="63"/>
      <c r="N46" s="63"/>
      <c r="O46" s="63"/>
      <c r="P46" s="63"/>
      <c r="Q46" s="63"/>
      <c r="R46" s="63"/>
      <c r="S46" s="63"/>
      <c r="T46" s="63"/>
      <c r="U46" s="63"/>
      <c r="V46" s="63"/>
    </row>
    <row r="47" spans="1:22">
      <c r="A47" s="63"/>
      <c r="B47" s="63"/>
      <c r="C47" s="63"/>
      <c r="D47" s="63"/>
      <c r="E47" s="63"/>
      <c r="F47" s="63"/>
      <c r="G47" s="63"/>
      <c r="H47" s="63"/>
      <c r="I47" s="63"/>
      <c r="J47" s="63"/>
      <c r="K47" s="63"/>
      <c r="L47" s="63"/>
      <c r="M47" s="63"/>
      <c r="N47" s="63"/>
      <c r="O47" s="63"/>
      <c r="P47" s="63"/>
      <c r="Q47" s="63"/>
      <c r="R47" s="63"/>
      <c r="S47" s="63"/>
      <c r="T47" s="63"/>
      <c r="U47" s="63"/>
      <c r="V47" s="63"/>
    </row>
    <row r="48" spans="1:22">
      <c r="A48" s="63"/>
      <c r="B48" s="63"/>
      <c r="C48" s="63"/>
      <c r="D48" s="63"/>
      <c r="E48" s="63"/>
      <c r="F48" s="63"/>
      <c r="G48" s="63"/>
      <c r="H48" s="63"/>
      <c r="I48" s="63"/>
      <c r="J48" s="63"/>
      <c r="K48" s="63"/>
      <c r="L48" s="63"/>
      <c r="M48" s="63"/>
      <c r="N48" s="63"/>
      <c r="O48" s="63"/>
      <c r="P48" s="63"/>
      <c r="Q48" s="63"/>
      <c r="R48" s="63"/>
      <c r="S48" s="63"/>
      <c r="T48" s="63"/>
      <c r="U48" s="63"/>
      <c r="V48" s="63"/>
    </row>
    <row r="49" spans="1:22">
      <c r="A49" s="63"/>
      <c r="B49" s="63"/>
      <c r="C49" s="63"/>
      <c r="D49" s="63"/>
      <c r="E49" s="63"/>
      <c r="F49" s="63"/>
      <c r="G49" s="63"/>
      <c r="H49" s="63"/>
      <c r="I49" s="63"/>
      <c r="J49" s="63"/>
      <c r="K49" s="63"/>
      <c r="L49" s="63"/>
      <c r="M49" s="63"/>
      <c r="N49" s="63"/>
      <c r="O49" s="63"/>
      <c r="P49" s="63"/>
      <c r="Q49" s="63"/>
      <c r="R49" s="63"/>
      <c r="S49" s="63"/>
      <c r="T49" s="63"/>
      <c r="U49" s="63"/>
      <c r="V49" s="63"/>
    </row>
    <row r="50" spans="1:22">
      <c r="A50" s="63"/>
      <c r="B50" s="63"/>
      <c r="C50" s="63"/>
      <c r="D50" s="63"/>
      <c r="E50" s="63"/>
      <c r="F50" s="63"/>
      <c r="G50" s="63"/>
      <c r="H50" s="63"/>
      <c r="I50" s="63"/>
      <c r="J50" s="63"/>
      <c r="K50" s="63"/>
      <c r="L50" s="63"/>
      <c r="M50" s="63"/>
      <c r="N50" s="63"/>
      <c r="O50" s="63"/>
      <c r="P50" s="63"/>
      <c r="Q50" s="63"/>
      <c r="R50" s="63"/>
      <c r="S50" s="63"/>
      <c r="T50" s="63"/>
      <c r="U50" s="63"/>
      <c r="V50" s="63"/>
    </row>
    <row r="51" spans="1:22">
      <c r="A51" s="63"/>
      <c r="B51" s="63"/>
      <c r="C51" s="63"/>
      <c r="D51" s="63"/>
      <c r="E51" s="63"/>
      <c r="F51" s="63"/>
      <c r="G51" s="63"/>
      <c r="H51" s="63"/>
      <c r="I51" s="63"/>
      <c r="J51" s="63"/>
      <c r="K51" s="63"/>
      <c r="L51" s="63"/>
      <c r="M51" s="63"/>
      <c r="N51" s="63"/>
      <c r="O51" s="63"/>
      <c r="P51" s="63"/>
      <c r="Q51" s="63"/>
      <c r="R51" s="63"/>
      <c r="S51" s="63"/>
      <c r="T51" s="63"/>
      <c r="U51" s="63"/>
      <c r="V51" s="63"/>
    </row>
    <row r="52" spans="1:22">
      <c r="A52" s="63"/>
      <c r="B52" s="63"/>
      <c r="C52" s="63"/>
      <c r="D52" s="63"/>
      <c r="E52" s="63"/>
      <c r="F52" s="63"/>
      <c r="G52" s="63"/>
      <c r="H52" s="63"/>
      <c r="I52" s="63"/>
      <c r="J52" s="63"/>
      <c r="K52" s="63"/>
      <c r="L52" s="63"/>
      <c r="M52" s="63"/>
      <c r="N52" s="63"/>
      <c r="O52" s="63"/>
      <c r="P52" s="63"/>
      <c r="Q52" s="63"/>
      <c r="R52" s="63"/>
      <c r="S52" s="63"/>
      <c r="T52" s="63"/>
      <c r="U52" s="63"/>
      <c r="V52" s="63"/>
    </row>
    <row r="53" spans="1:22">
      <c r="A53" s="63"/>
      <c r="B53" s="63"/>
      <c r="C53" s="63"/>
      <c r="D53" s="63"/>
      <c r="E53" s="63"/>
      <c r="F53" s="63"/>
      <c r="G53" s="63"/>
      <c r="H53" s="63"/>
      <c r="I53" s="63"/>
      <c r="J53" s="63"/>
      <c r="K53" s="63"/>
      <c r="L53" s="63"/>
      <c r="M53" s="63"/>
      <c r="N53" s="63"/>
      <c r="O53" s="63"/>
      <c r="P53" s="63"/>
      <c r="Q53" s="63"/>
      <c r="R53" s="63"/>
      <c r="S53" s="63"/>
      <c r="T53" s="63"/>
      <c r="U53" s="63"/>
      <c r="V53" s="63"/>
    </row>
    <row r="54" spans="1:22">
      <c r="A54" s="63"/>
      <c r="B54" s="63"/>
      <c r="C54" s="63"/>
      <c r="D54" s="63"/>
      <c r="E54" s="63"/>
      <c r="F54" s="63"/>
      <c r="G54" s="63"/>
      <c r="H54" s="63"/>
      <c r="I54" s="63"/>
      <c r="J54" s="63"/>
      <c r="K54" s="63"/>
      <c r="L54" s="63"/>
      <c r="M54" s="63"/>
      <c r="N54" s="63"/>
      <c r="O54" s="63"/>
      <c r="P54" s="63"/>
      <c r="Q54" s="63"/>
      <c r="R54" s="63"/>
      <c r="S54" s="63"/>
      <c r="T54" s="63"/>
      <c r="U54" s="63"/>
      <c r="V54" s="63"/>
    </row>
    <row r="55" spans="1:22">
      <c r="A55" s="63"/>
      <c r="B55" s="63"/>
      <c r="C55" s="63"/>
      <c r="D55" s="63"/>
      <c r="E55" s="63"/>
      <c r="F55" s="63"/>
      <c r="G55" s="63"/>
      <c r="H55" s="63"/>
      <c r="I55" s="63"/>
      <c r="J55" s="63"/>
      <c r="K55" s="63"/>
      <c r="L55" s="63"/>
      <c r="M55" s="63"/>
      <c r="N55" s="63"/>
      <c r="O55" s="63"/>
      <c r="P55" s="63"/>
      <c r="Q55" s="63"/>
      <c r="R55" s="63"/>
      <c r="S55" s="63"/>
      <c r="T55" s="63"/>
      <c r="U55" s="63"/>
      <c r="V55" s="63"/>
    </row>
    <row r="56" spans="1:22">
      <c r="A56" s="63"/>
      <c r="B56" s="63"/>
      <c r="C56" s="63"/>
      <c r="D56" s="63"/>
      <c r="E56" s="63"/>
      <c r="F56" s="63"/>
      <c r="G56" s="63"/>
      <c r="H56" s="63"/>
      <c r="I56" s="63"/>
      <c r="J56" s="63"/>
      <c r="K56" s="63"/>
      <c r="L56" s="63"/>
      <c r="M56" s="63"/>
      <c r="N56" s="63"/>
      <c r="O56" s="63"/>
      <c r="P56" s="63"/>
      <c r="Q56" s="63"/>
      <c r="R56" s="63"/>
      <c r="S56" s="63"/>
      <c r="T56" s="63"/>
      <c r="U56" s="63"/>
      <c r="V56" s="63"/>
    </row>
    <row r="57" spans="1:22">
      <c r="A57" s="63"/>
      <c r="B57" s="63"/>
      <c r="C57" s="63"/>
      <c r="D57" s="63"/>
      <c r="E57" s="63"/>
      <c r="F57" s="63"/>
      <c r="G57" s="63"/>
      <c r="H57" s="63"/>
      <c r="I57" s="63"/>
      <c r="J57" s="63"/>
      <c r="K57" s="63"/>
      <c r="L57" s="63"/>
      <c r="M57" s="63"/>
      <c r="N57" s="63"/>
      <c r="O57" s="63"/>
      <c r="P57" s="63"/>
      <c r="Q57" s="63"/>
      <c r="R57" s="63"/>
      <c r="S57" s="63"/>
      <c r="T57" s="63"/>
      <c r="U57" s="63"/>
      <c r="V57" s="63"/>
    </row>
    <row r="58" spans="1:22">
      <c r="A58" s="63"/>
      <c r="B58" s="63"/>
      <c r="C58" s="63"/>
      <c r="D58" s="63"/>
      <c r="E58" s="63"/>
      <c r="F58" s="63"/>
      <c r="G58" s="63"/>
      <c r="H58" s="63"/>
      <c r="I58" s="63"/>
      <c r="J58" s="63"/>
      <c r="K58" s="63"/>
      <c r="L58" s="63"/>
      <c r="M58" s="63"/>
      <c r="N58" s="63"/>
      <c r="O58" s="63"/>
      <c r="P58" s="63"/>
      <c r="Q58" s="63"/>
      <c r="R58" s="63"/>
      <c r="S58" s="63"/>
      <c r="T58" s="63"/>
      <c r="U58" s="63"/>
      <c r="V58" s="63"/>
    </row>
    <row r="59" spans="1:22">
      <c r="A59" s="63"/>
      <c r="B59" s="63"/>
      <c r="C59" s="63"/>
      <c r="D59" s="63"/>
      <c r="E59" s="63"/>
      <c r="F59" s="63"/>
      <c r="G59" s="63"/>
      <c r="H59" s="63"/>
      <c r="I59" s="63"/>
      <c r="J59" s="63"/>
      <c r="K59" s="63"/>
      <c r="L59" s="63"/>
      <c r="M59" s="63"/>
      <c r="N59" s="63"/>
      <c r="O59" s="63"/>
      <c r="P59" s="63"/>
      <c r="Q59" s="63"/>
      <c r="R59" s="63"/>
      <c r="S59" s="63"/>
      <c r="T59" s="63"/>
      <c r="U59" s="63"/>
      <c r="V59" s="63"/>
    </row>
    <row r="60" spans="1:22">
      <c r="A60" s="63"/>
      <c r="B60" s="63"/>
      <c r="C60" s="63"/>
      <c r="D60" s="63"/>
      <c r="E60" s="63"/>
      <c r="F60" s="63"/>
      <c r="G60" s="63"/>
      <c r="H60" s="63"/>
      <c r="I60" s="63"/>
      <c r="J60" s="63"/>
      <c r="K60" s="63"/>
      <c r="L60" s="63"/>
      <c r="M60" s="63"/>
      <c r="N60" s="63"/>
      <c r="O60" s="63"/>
      <c r="P60" s="63"/>
      <c r="Q60" s="63"/>
      <c r="R60" s="63"/>
      <c r="S60" s="63"/>
      <c r="T60" s="63"/>
      <c r="U60" s="63"/>
      <c r="V60" s="63"/>
    </row>
    <row r="61" spans="1:22">
      <c r="A61" s="63"/>
      <c r="B61" s="63"/>
      <c r="C61" s="63"/>
      <c r="D61" s="63"/>
      <c r="E61" s="63"/>
      <c r="F61" s="63"/>
      <c r="G61" s="63"/>
      <c r="H61" s="63"/>
      <c r="I61" s="63"/>
      <c r="J61" s="63"/>
      <c r="K61" s="63"/>
      <c r="L61" s="63"/>
      <c r="M61" s="63"/>
      <c r="N61" s="63"/>
      <c r="O61" s="63"/>
      <c r="P61" s="63"/>
      <c r="Q61" s="63"/>
      <c r="R61" s="63"/>
      <c r="S61" s="63"/>
      <c r="T61" s="63"/>
      <c r="U61" s="63"/>
      <c r="V61" s="63"/>
    </row>
    <row r="62" spans="1:22">
      <c r="A62" s="63"/>
      <c r="B62" s="63"/>
      <c r="C62" s="63"/>
      <c r="D62" s="63"/>
      <c r="E62" s="63"/>
      <c r="F62" s="63"/>
      <c r="G62" s="63"/>
      <c r="H62" s="63"/>
      <c r="I62" s="63"/>
      <c r="J62" s="63"/>
      <c r="K62" s="63"/>
      <c r="L62" s="63"/>
      <c r="M62" s="63"/>
      <c r="N62" s="63"/>
      <c r="O62" s="63"/>
      <c r="P62" s="63"/>
      <c r="Q62" s="63"/>
      <c r="R62" s="63"/>
      <c r="S62" s="63"/>
      <c r="T62" s="63"/>
      <c r="U62" s="63"/>
      <c r="V62" s="63"/>
    </row>
    <row r="63" spans="1:22">
      <c r="A63" s="63"/>
      <c r="B63" s="63"/>
      <c r="C63" s="63"/>
      <c r="D63" s="63"/>
      <c r="E63" s="63"/>
      <c r="F63" s="63"/>
      <c r="G63" s="63"/>
      <c r="H63" s="63"/>
      <c r="I63" s="63"/>
      <c r="J63" s="63"/>
      <c r="K63" s="63"/>
      <c r="L63" s="63"/>
      <c r="M63" s="63"/>
      <c r="N63" s="63"/>
      <c r="O63" s="63"/>
      <c r="P63" s="63"/>
      <c r="Q63" s="63"/>
      <c r="R63" s="63"/>
      <c r="S63" s="63"/>
      <c r="T63" s="63"/>
      <c r="U63" s="63"/>
      <c r="V63" s="63"/>
    </row>
    <row r="64" spans="1:22">
      <c r="A64" s="63"/>
      <c r="B64" s="63"/>
      <c r="C64" s="63"/>
      <c r="D64" s="63"/>
      <c r="E64" s="63"/>
      <c r="F64" s="63"/>
      <c r="G64" s="63"/>
      <c r="H64" s="63"/>
      <c r="I64" s="63"/>
      <c r="J64" s="63"/>
      <c r="K64" s="63"/>
      <c r="L64" s="63"/>
      <c r="M64" s="63"/>
      <c r="N64" s="63"/>
      <c r="O64" s="63"/>
      <c r="P64" s="63"/>
      <c r="Q64" s="63"/>
      <c r="R64" s="63"/>
      <c r="S64" s="63"/>
      <c r="T64" s="63"/>
      <c r="U64" s="63"/>
      <c r="V64" s="63"/>
    </row>
    <row r="65" spans="1:22">
      <c r="A65" s="63"/>
      <c r="B65" s="63"/>
      <c r="C65" s="63"/>
      <c r="D65" s="63"/>
      <c r="E65" s="63"/>
      <c r="F65" s="63"/>
      <c r="G65" s="63"/>
      <c r="H65" s="63"/>
      <c r="I65" s="63"/>
      <c r="J65" s="63"/>
      <c r="K65" s="63"/>
      <c r="L65" s="63"/>
      <c r="M65" s="63"/>
      <c r="N65" s="63"/>
      <c r="O65" s="63"/>
      <c r="P65" s="63"/>
      <c r="Q65" s="63"/>
      <c r="R65" s="63"/>
      <c r="S65" s="63"/>
      <c r="T65" s="63"/>
      <c r="U65" s="63"/>
      <c r="V65" s="63"/>
    </row>
    <row r="66" spans="1:22">
      <c r="A66" s="63"/>
      <c r="B66" s="63"/>
      <c r="C66" s="63"/>
      <c r="D66" s="63"/>
      <c r="E66" s="63"/>
      <c r="F66" s="63"/>
      <c r="G66" s="63"/>
      <c r="H66" s="63"/>
      <c r="I66" s="63"/>
      <c r="J66" s="63"/>
      <c r="K66" s="63"/>
      <c r="L66" s="63"/>
      <c r="M66" s="63"/>
      <c r="N66" s="63"/>
      <c r="O66" s="63"/>
      <c r="P66" s="63"/>
      <c r="Q66" s="63"/>
      <c r="R66" s="63"/>
      <c r="S66" s="63"/>
      <c r="T66" s="63"/>
      <c r="U66" s="63"/>
      <c r="V66" s="63"/>
    </row>
    <row r="67" spans="1:22">
      <c r="A67" s="63"/>
      <c r="B67" s="63"/>
      <c r="C67" s="63"/>
      <c r="D67" s="63"/>
      <c r="E67" s="63"/>
      <c r="F67" s="63"/>
      <c r="G67" s="63"/>
      <c r="H67" s="63"/>
      <c r="I67" s="63"/>
      <c r="J67" s="63"/>
      <c r="K67" s="63"/>
      <c r="L67" s="63"/>
      <c r="M67" s="63"/>
      <c r="N67" s="63"/>
      <c r="O67" s="63"/>
      <c r="P67" s="63"/>
      <c r="Q67" s="63"/>
      <c r="R67" s="63"/>
      <c r="S67" s="63"/>
      <c r="T67" s="63"/>
      <c r="U67" s="63"/>
      <c r="V67" s="63"/>
    </row>
    <row r="68" spans="1:22">
      <c r="A68" s="63"/>
      <c r="B68" s="63"/>
      <c r="C68" s="63"/>
      <c r="D68" s="63"/>
      <c r="E68" s="63"/>
      <c r="F68" s="63"/>
      <c r="G68" s="63"/>
      <c r="H68" s="63"/>
      <c r="I68" s="63"/>
      <c r="J68" s="63"/>
      <c r="K68" s="63"/>
      <c r="L68" s="63"/>
      <c r="M68" s="63"/>
      <c r="N68" s="63"/>
      <c r="O68" s="63"/>
      <c r="P68" s="63"/>
      <c r="Q68" s="63"/>
      <c r="R68" s="63"/>
      <c r="S68" s="63"/>
      <c r="T68" s="63"/>
      <c r="U68" s="63"/>
      <c r="V68" s="63"/>
    </row>
    <row r="69" spans="1:22">
      <c r="A69" s="63"/>
      <c r="B69" s="63"/>
      <c r="C69" s="63"/>
      <c r="D69" s="63"/>
      <c r="E69" s="63"/>
      <c r="F69" s="63"/>
      <c r="G69" s="63"/>
      <c r="H69" s="63"/>
      <c r="I69" s="63"/>
      <c r="J69" s="63"/>
      <c r="K69" s="63"/>
      <c r="L69" s="63"/>
      <c r="M69" s="63"/>
      <c r="N69" s="63"/>
      <c r="O69" s="63"/>
      <c r="P69" s="63"/>
      <c r="Q69" s="63"/>
      <c r="R69" s="63"/>
      <c r="S69" s="63"/>
      <c r="T69" s="63"/>
      <c r="U69" s="63"/>
      <c r="V69" s="63"/>
    </row>
    <row r="70" spans="1:22">
      <c r="A70" s="63"/>
      <c r="B70" s="63"/>
      <c r="C70" s="63"/>
      <c r="D70" s="63"/>
      <c r="E70" s="63"/>
      <c r="F70" s="63"/>
      <c r="G70" s="63"/>
      <c r="H70" s="63"/>
      <c r="I70" s="63"/>
      <c r="J70" s="63"/>
      <c r="K70" s="63"/>
      <c r="L70" s="63"/>
      <c r="M70" s="63"/>
      <c r="N70" s="63"/>
      <c r="O70" s="63"/>
      <c r="P70" s="63"/>
      <c r="Q70" s="63"/>
      <c r="R70" s="63"/>
      <c r="S70" s="63"/>
      <c r="T70" s="63"/>
      <c r="U70" s="63"/>
      <c r="V70" s="63"/>
    </row>
    <row r="71" spans="1:22">
      <c r="A71" s="63"/>
      <c r="B71" s="63"/>
      <c r="C71" s="63"/>
      <c r="D71" s="63"/>
      <c r="E71" s="63"/>
      <c r="F71" s="63"/>
      <c r="G71" s="63"/>
      <c r="H71" s="63"/>
      <c r="I71" s="63"/>
      <c r="J71" s="63"/>
      <c r="K71" s="63"/>
      <c r="L71" s="63"/>
      <c r="M71" s="63"/>
      <c r="N71" s="63"/>
      <c r="O71" s="63"/>
      <c r="P71" s="63"/>
      <c r="Q71" s="63"/>
      <c r="R71" s="63"/>
      <c r="S71" s="63"/>
      <c r="T71" s="63"/>
      <c r="U71" s="63"/>
      <c r="V71" s="63"/>
    </row>
    <row r="72" spans="1:22">
      <c r="A72" s="63"/>
      <c r="B72" s="63"/>
      <c r="C72" s="63"/>
      <c r="D72" s="63"/>
      <c r="E72" s="63"/>
      <c r="F72" s="63"/>
      <c r="G72" s="63"/>
      <c r="H72" s="63"/>
      <c r="I72" s="63"/>
      <c r="J72" s="63"/>
      <c r="K72" s="63"/>
      <c r="L72" s="63"/>
      <c r="M72" s="63"/>
      <c r="N72" s="63"/>
      <c r="O72" s="63"/>
      <c r="P72" s="63"/>
      <c r="Q72" s="63"/>
      <c r="R72" s="63"/>
      <c r="S72" s="63"/>
      <c r="T72" s="63"/>
      <c r="U72" s="63"/>
      <c r="V72" s="63"/>
    </row>
    <row r="73" spans="1:22">
      <c r="A73" s="63"/>
      <c r="B73" s="63"/>
      <c r="C73" s="63"/>
      <c r="D73" s="63"/>
      <c r="E73" s="63"/>
      <c r="F73" s="63"/>
      <c r="G73" s="63"/>
      <c r="H73" s="63"/>
      <c r="I73" s="63"/>
      <c r="J73" s="63"/>
      <c r="K73" s="63"/>
      <c r="L73" s="63"/>
      <c r="M73" s="63"/>
      <c r="N73" s="63"/>
      <c r="O73" s="63"/>
      <c r="P73" s="63"/>
      <c r="Q73" s="63"/>
      <c r="R73" s="63"/>
      <c r="S73" s="63"/>
      <c r="T73" s="63"/>
      <c r="U73" s="63"/>
      <c r="V73" s="63"/>
    </row>
    <row r="74" spans="1:22">
      <c r="A74" s="63"/>
      <c r="B74" s="63"/>
      <c r="C74" s="63"/>
      <c r="D74" s="63"/>
      <c r="E74" s="63"/>
      <c r="F74" s="63"/>
      <c r="G74" s="63"/>
      <c r="H74" s="63"/>
      <c r="I74" s="63"/>
      <c r="J74" s="63"/>
      <c r="K74" s="63"/>
      <c r="L74" s="63"/>
      <c r="M74" s="63"/>
      <c r="N74" s="63"/>
      <c r="O74" s="63"/>
      <c r="P74" s="63"/>
      <c r="Q74" s="63"/>
      <c r="R74" s="63"/>
      <c r="S74" s="63"/>
      <c r="T74" s="63"/>
      <c r="U74" s="63"/>
      <c r="V74" s="63"/>
    </row>
    <row r="75" spans="1:22">
      <c r="A75" s="63"/>
      <c r="B75" s="63"/>
      <c r="C75" s="63"/>
      <c r="D75" s="63"/>
      <c r="E75" s="63"/>
      <c r="F75" s="63"/>
      <c r="G75" s="63"/>
      <c r="H75" s="63"/>
      <c r="I75" s="63"/>
      <c r="J75" s="63"/>
      <c r="K75" s="63"/>
      <c r="L75" s="63"/>
      <c r="M75" s="63"/>
      <c r="N75" s="63"/>
      <c r="O75" s="63"/>
      <c r="P75" s="63"/>
      <c r="Q75" s="63"/>
      <c r="R75" s="63"/>
      <c r="S75" s="63"/>
      <c r="T75" s="63"/>
      <c r="U75" s="63"/>
      <c r="V75" s="63"/>
    </row>
    <row r="76" spans="1:22">
      <c r="A76" s="63"/>
      <c r="B76" s="63"/>
      <c r="C76" s="63"/>
      <c r="D76" s="63"/>
      <c r="E76" s="63"/>
      <c r="F76" s="63"/>
      <c r="G76" s="63"/>
      <c r="H76" s="63"/>
      <c r="I76" s="63"/>
      <c r="J76" s="63"/>
      <c r="K76" s="63"/>
      <c r="L76" s="63"/>
      <c r="M76" s="63"/>
      <c r="N76" s="63"/>
      <c r="O76" s="63"/>
      <c r="P76" s="63"/>
      <c r="Q76" s="63"/>
      <c r="R76" s="63"/>
      <c r="S76" s="63"/>
      <c r="T76" s="63"/>
      <c r="U76" s="63"/>
      <c r="V76" s="63"/>
    </row>
    <row r="77" spans="1:22">
      <c r="A77" s="63"/>
      <c r="B77" s="63"/>
      <c r="C77" s="63"/>
      <c r="D77" s="63"/>
      <c r="E77" s="63"/>
      <c r="F77" s="63"/>
      <c r="G77" s="63"/>
      <c r="H77" s="63"/>
      <c r="I77" s="63"/>
      <c r="J77" s="63"/>
      <c r="K77" s="63"/>
      <c r="L77" s="63"/>
      <c r="M77" s="63"/>
      <c r="N77" s="63"/>
      <c r="O77" s="63"/>
      <c r="P77" s="63"/>
      <c r="Q77" s="63"/>
      <c r="R77" s="63"/>
      <c r="S77" s="63"/>
      <c r="T77" s="63"/>
      <c r="U77" s="63"/>
      <c r="V77" s="63"/>
    </row>
    <row r="78" spans="1:22">
      <c r="A78" s="63"/>
      <c r="B78" s="63"/>
      <c r="C78" s="63"/>
      <c r="D78" s="63"/>
      <c r="E78" s="63"/>
      <c r="F78" s="63"/>
      <c r="G78" s="63"/>
      <c r="H78" s="63"/>
      <c r="I78" s="63"/>
      <c r="J78" s="63"/>
      <c r="K78" s="63"/>
      <c r="L78" s="63"/>
      <c r="M78" s="63"/>
      <c r="N78" s="63"/>
      <c r="O78" s="63"/>
      <c r="P78" s="63"/>
      <c r="Q78" s="63"/>
      <c r="R78" s="63"/>
      <c r="S78" s="63"/>
      <c r="T78" s="63"/>
      <c r="U78" s="63"/>
      <c r="V78" s="63"/>
    </row>
    <row r="79" spans="1:22">
      <c r="A79" s="63"/>
      <c r="B79" s="63"/>
      <c r="C79" s="63"/>
      <c r="D79" s="63"/>
      <c r="E79" s="63"/>
      <c r="F79" s="63"/>
      <c r="G79" s="63"/>
      <c r="H79" s="63"/>
      <c r="I79" s="63"/>
      <c r="J79" s="63"/>
      <c r="K79" s="63"/>
      <c r="L79" s="63"/>
      <c r="M79" s="63"/>
      <c r="N79" s="63"/>
      <c r="O79" s="63"/>
      <c r="P79" s="63"/>
      <c r="Q79" s="63"/>
      <c r="R79" s="63"/>
      <c r="S79" s="63"/>
      <c r="T79" s="63"/>
      <c r="U79" s="63"/>
      <c r="V79" s="63"/>
    </row>
    <row r="80" spans="1:22">
      <c r="A80" s="63"/>
      <c r="B80" s="63"/>
      <c r="C80" s="63"/>
      <c r="D80" s="63"/>
      <c r="E80" s="63"/>
      <c r="F80" s="63"/>
      <c r="G80" s="63"/>
      <c r="H80" s="63"/>
      <c r="I80" s="63"/>
      <c r="J80" s="63"/>
      <c r="K80" s="63"/>
      <c r="L80" s="63"/>
      <c r="M80" s="63"/>
      <c r="N80" s="63"/>
      <c r="O80" s="63"/>
      <c r="P80" s="63"/>
      <c r="Q80" s="63"/>
      <c r="R80" s="63"/>
      <c r="S80" s="63"/>
      <c r="T80" s="63"/>
      <c r="U80" s="63"/>
      <c r="V80" s="63"/>
    </row>
    <row r="81" spans="1:22">
      <c r="A81" s="63"/>
      <c r="B81" s="63"/>
      <c r="C81" s="63"/>
      <c r="D81" s="63"/>
      <c r="E81" s="63"/>
      <c r="F81" s="63"/>
      <c r="G81" s="63"/>
      <c r="H81" s="63"/>
      <c r="I81" s="63"/>
      <c r="J81" s="63"/>
      <c r="K81" s="63"/>
      <c r="L81" s="63"/>
      <c r="M81" s="63"/>
      <c r="N81" s="63"/>
      <c r="O81" s="63"/>
      <c r="P81" s="63"/>
      <c r="Q81" s="63"/>
      <c r="R81" s="63"/>
      <c r="S81" s="63"/>
      <c r="T81" s="63"/>
      <c r="U81" s="63"/>
      <c r="V81" s="63"/>
    </row>
    <row r="82" spans="1:22">
      <c r="A82" s="63"/>
      <c r="B82" s="63"/>
      <c r="C82" s="63"/>
      <c r="D82" s="63"/>
      <c r="E82" s="63"/>
      <c r="F82" s="63"/>
      <c r="G82" s="63"/>
      <c r="H82" s="63"/>
      <c r="I82" s="63"/>
      <c r="J82" s="63"/>
      <c r="K82" s="63"/>
      <c r="L82" s="63"/>
      <c r="M82" s="63"/>
      <c r="N82" s="63"/>
      <c r="O82" s="63"/>
      <c r="P82" s="63"/>
      <c r="Q82" s="63"/>
      <c r="R82" s="63"/>
      <c r="S82" s="63"/>
      <c r="T82" s="63"/>
      <c r="U82" s="63"/>
      <c r="V82" s="63"/>
    </row>
    <row r="83" spans="1:22">
      <c r="A83" s="63"/>
      <c r="B83" s="63"/>
      <c r="C83" s="63"/>
      <c r="D83" s="63"/>
      <c r="E83" s="63"/>
      <c r="F83" s="63"/>
      <c r="G83" s="63"/>
      <c r="H83" s="63"/>
      <c r="I83" s="63"/>
      <c r="J83" s="63"/>
      <c r="K83" s="63"/>
      <c r="L83" s="63"/>
      <c r="M83" s="63"/>
      <c r="N83" s="63"/>
      <c r="O83" s="63"/>
      <c r="P83" s="63"/>
      <c r="Q83" s="63"/>
      <c r="R83" s="63"/>
      <c r="S83" s="63"/>
      <c r="T83" s="63"/>
      <c r="U83" s="63"/>
      <c r="V83" s="63"/>
    </row>
    <row r="84" spans="1:22">
      <c r="A84" s="63"/>
      <c r="B84" s="63"/>
      <c r="C84" s="63"/>
      <c r="D84" s="63"/>
      <c r="E84" s="63"/>
      <c r="F84" s="63"/>
      <c r="G84" s="63"/>
      <c r="H84" s="63"/>
      <c r="I84" s="63"/>
      <c r="J84" s="63"/>
      <c r="K84" s="63"/>
      <c r="L84" s="63"/>
      <c r="M84" s="63"/>
      <c r="N84" s="63"/>
      <c r="O84" s="63"/>
      <c r="P84" s="63"/>
      <c r="Q84" s="63"/>
      <c r="R84" s="63"/>
      <c r="S84" s="63"/>
      <c r="T84" s="63"/>
      <c r="U84" s="63"/>
      <c r="V84" s="63"/>
    </row>
    <row r="85" spans="1:22">
      <c r="A85" s="63"/>
      <c r="B85" s="63"/>
      <c r="C85" s="63"/>
      <c r="D85" s="63"/>
      <c r="E85" s="63"/>
      <c r="F85" s="63"/>
      <c r="G85" s="63"/>
      <c r="H85" s="63"/>
      <c r="I85" s="63"/>
      <c r="J85" s="63"/>
      <c r="K85" s="63"/>
      <c r="L85" s="63"/>
      <c r="M85" s="63"/>
      <c r="N85" s="63"/>
      <c r="O85" s="63"/>
      <c r="P85" s="63"/>
      <c r="Q85" s="63"/>
      <c r="R85" s="63"/>
      <c r="S85" s="63"/>
      <c r="T85" s="63"/>
      <c r="U85" s="63"/>
      <c r="V85" s="63"/>
    </row>
    <row r="86" spans="1:22">
      <c r="A86" s="63"/>
      <c r="B86" s="63"/>
      <c r="C86" s="63"/>
      <c r="D86" s="63"/>
      <c r="E86" s="63"/>
      <c r="F86" s="63"/>
      <c r="G86" s="63"/>
      <c r="H86" s="63"/>
      <c r="I86" s="63"/>
      <c r="J86" s="63"/>
      <c r="K86" s="63"/>
      <c r="L86" s="63"/>
      <c r="M86" s="63"/>
      <c r="N86" s="63"/>
      <c r="O86" s="63"/>
      <c r="P86" s="63"/>
      <c r="Q86" s="63"/>
      <c r="R86" s="63"/>
      <c r="S86" s="63"/>
      <c r="T86" s="63"/>
      <c r="U86" s="63"/>
      <c r="V86" s="63"/>
    </row>
    <row r="87" spans="1:22">
      <c r="A87" s="63"/>
      <c r="B87" s="63"/>
      <c r="C87" s="63"/>
      <c r="D87" s="63"/>
      <c r="E87" s="63"/>
      <c r="F87" s="63"/>
      <c r="G87" s="63"/>
      <c r="H87" s="63"/>
      <c r="I87" s="63"/>
      <c r="J87" s="63"/>
      <c r="K87" s="63"/>
      <c r="L87" s="63"/>
      <c r="M87" s="63"/>
      <c r="N87" s="63"/>
      <c r="O87" s="63"/>
      <c r="P87" s="63"/>
      <c r="Q87" s="63"/>
      <c r="R87" s="63"/>
      <c r="S87" s="63"/>
      <c r="T87" s="63"/>
      <c r="U87" s="63"/>
      <c r="V87" s="63"/>
    </row>
    <row r="88" spans="1:22">
      <c r="A88" s="63"/>
      <c r="B88" s="63"/>
      <c r="C88" s="63"/>
      <c r="D88" s="63"/>
      <c r="E88" s="63"/>
      <c r="F88" s="63"/>
      <c r="G88" s="63"/>
      <c r="H88" s="63"/>
      <c r="I88" s="63"/>
      <c r="J88" s="63"/>
      <c r="K88" s="63"/>
      <c r="L88" s="63"/>
      <c r="M88" s="63"/>
      <c r="N88" s="63"/>
      <c r="O88" s="63"/>
      <c r="P88" s="63"/>
      <c r="Q88" s="63"/>
      <c r="R88" s="63"/>
      <c r="S88" s="63"/>
      <c r="T88" s="63"/>
      <c r="U88" s="63"/>
      <c r="V88" s="63"/>
    </row>
    <row r="89" spans="1:22">
      <c r="A89" s="63"/>
      <c r="B89" s="63"/>
      <c r="C89" s="63"/>
      <c r="D89" s="63"/>
      <c r="E89" s="63"/>
      <c r="F89" s="63"/>
      <c r="G89" s="63"/>
      <c r="H89" s="63"/>
      <c r="I89" s="63"/>
      <c r="J89" s="63"/>
      <c r="K89" s="63"/>
      <c r="L89" s="63"/>
      <c r="M89" s="63"/>
      <c r="N89" s="63"/>
      <c r="O89" s="63"/>
      <c r="P89" s="63"/>
      <c r="Q89" s="63"/>
      <c r="R89" s="63"/>
      <c r="S89" s="63"/>
      <c r="T89" s="63"/>
      <c r="U89" s="63"/>
      <c r="V89" s="63"/>
    </row>
    <row r="90" spans="1:22">
      <c r="A90" s="63"/>
      <c r="B90" s="63"/>
      <c r="C90" s="63"/>
      <c r="D90" s="63"/>
      <c r="E90" s="63"/>
      <c r="F90" s="63"/>
      <c r="G90" s="63"/>
      <c r="H90" s="63"/>
      <c r="I90" s="63"/>
      <c r="J90" s="63"/>
      <c r="K90" s="63"/>
      <c r="L90" s="63"/>
      <c r="M90" s="63"/>
      <c r="N90" s="63"/>
      <c r="O90" s="63"/>
      <c r="P90" s="63"/>
      <c r="Q90" s="63"/>
      <c r="R90" s="63"/>
      <c r="S90" s="63"/>
      <c r="T90" s="63"/>
      <c r="U90" s="63"/>
      <c r="V90" s="63"/>
    </row>
    <row r="91" spans="1:22">
      <c r="A91" s="63"/>
      <c r="B91" s="63"/>
      <c r="C91" s="63"/>
      <c r="D91" s="63"/>
      <c r="E91" s="63"/>
      <c r="F91" s="63"/>
      <c r="G91" s="63"/>
      <c r="H91" s="63"/>
      <c r="I91" s="63"/>
      <c r="J91" s="63"/>
      <c r="K91" s="63"/>
      <c r="L91" s="63"/>
      <c r="M91" s="63"/>
      <c r="N91" s="63"/>
      <c r="O91" s="63"/>
      <c r="P91" s="63"/>
      <c r="Q91" s="63"/>
      <c r="R91" s="63"/>
      <c r="S91" s="63"/>
      <c r="T91" s="63"/>
      <c r="U91" s="63"/>
      <c r="V91" s="63"/>
    </row>
    <row r="92" spans="1:22">
      <c r="A92" s="63"/>
      <c r="B92" s="63"/>
      <c r="C92" s="63"/>
      <c r="D92" s="63"/>
      <c r="E92" s="63"/>
      <c r="F92" s="63"/>
      <c r="G92" s="63"/>
      <c r="H92" s="63"/>
      <c r="I92" s="63"/>
      <c r="J92" s="63"/>
      <c r="K92" s="63"/>
      <c r="L92" s="63"/>
      <c r="M92" s="63"/>
      <c r="N92" s="63"/>
      <c r="O92" s="63"/>
      <c r="P92" s="63"/>
      <c r="Q92" s="63"/>
      <c r="R92" s="63"/>
      <c r="S92" s="63"/>
      <c r="T92" s="63"/>
      <c r="U92" s="63"/>
      <c r="V92" s="63"/>
    </row>
    <row r="93" spans="1:22">
      <c r="A93" s="63"/>
      <c r="B93" s="63"/>
      <c r="C93" s="63"/>
      <c r="D93" s="63"/>
      <c r="E93" s="63"/>
      <c r="F93" s="63"/>
      <c r="G93" s="63"/>
      <c r="H93" s="63"/>
      <c r="I93" s="63"/>
      <c r="J93" s="63"/>
      <c r="K93" s="63"/>
      <c r="L93" s="63"/>
      <c r="M93" s="63"/>
      <c r="N93" s="63"/>
      <c r="O93" s="63"/>
      <c r="P93" s="63"/>
      <c r="Q93" s="63"/>
      <c r="R93" s="63"/>
      <c r="S93" s="63"/>
      <c r="T93" s="63"/>
      <c r="U93" s="63"/>
      <c r="V93" s="63"/>
    </row>
    <row r="94" spans="1:22">
      <c r="A94" s="63"/>
      <c r="B94" s="63"/>
      <c r="C94" s="63"/>
      <c r="D94" s="63"/>
      <c r="E94" s="63"/>
      <c r="F94" s="63"/>
      <c r="G94" s="63"/>
      <c r="H94" s="63"/>
      <c r="I94" s="63"/>
      <c r="J94" s="63"/>
      <c r="K94" s="63"/>
      <c r="L94" s="63"/>
      <c r="M94" s="63"/>
      <c r="N94" s="63"/>
      <c r="O94" s="63"/>
      <c r="P94" s="63"/>
      <c r="Q94" s="63"/>
      <c r="R94" s="63"/>
      <c r="S94" s="63"/>
      <c r="T94" s="63"/>
      <c r="U94" s="63"/>
      <c r="V94" s="63"/>
    </row>
    <row r="95" spans="1:22">
      <c r="A95" s="63"/>
      <c r="B95" s="63"/>
      <c r="C95" s="63"/>
      <c r="D95" s="63"/>
      <c r="E95" s="63"/>
      <c r="F95" s="63"/>
      <c r="G95" s="63"/>
      <c r="H95" s="63"/>
      <c r="I95" s="63"/>
      <c r="J95" s="63"/>
      <c r="K95" s="63"/>
      <c r="L95" s="63"/>
      <c r="M95" s="63"/>
      <c r="N95" s="63"/>
      <c r="O95" s="63"/>
      <c r="P95" s="63"/>
      <c r="Q95" s="63"/>
      <c r="R95" s="63"/>
      <c r="S95" s="63"/>
      <c r="T95" s="63"/>
      <c r="U95" s="63"/>
      <c r="V95" s="63"/>
    </row>
    <row r="96" spans="1:22">
      <c r="A96" s="63"/>
      <c r="B96" s="63"/>
      <c r="C96" s="63"/>
      <c r="D96" s="63"/>
      <c r="E96" s="63"/>
      <c r="F96" s="63"/>
      <c r="G96" s="63"/>
      <c r="H96" s="63"/>
      <c r="I96" s="63"/>
      <c r="J96" s="63"/>
      <c r="K96" s="63"/>
      <c r="L96" s="63"/>
      <c r="M96" s="63"/>
      <c r="N96" s="63"/>
      <c r="O96" s="63"/>
      <c r="P96" s="63"/>
      <c r="Q96" s="63"/>
      <c r="R96" s="63"/>
      <c r="S96" s="63"/>
      <c r="T96" s="63"/>
      <c r="U96" s="63"/>
      <c r="V96" s="63"/>
    </row>
    <row r="97" spans="1:22">
      <c r="A97" s="63"/>
      <c r="B97" s="63"/>
      <c r="C97" s="63"/>
      <c r="D97" s="63"/>
      <c r="E97" s="63"/>
      <c r="F97" s="63"/>
      <c r="G97" s="63"/>
      <c r="H97" s="63"/>
      <c r="I97" s="63"/>
      <c r="J97" s="63"/>
      <c r="K97" s="63"/>
      <c r="L97" s="63"/>
      <c r="M97" s="63"/>
      <c r="N97" s="63"/>
      <c r="O97" s="63"/>
      <c r="P97" s="63"/>
      <c r="Q97" s="63"/>
      <c r="R97" s="63"/>
      <c r="S97" s="63"/>
      <c r="T97" s="63"/>
      <c r="U97" s="63"/>
      <c r="V97" s="63"/>
    </row>
    <row r="98" spans="1:22">
      <c r="A98" s="63"/>
      <c r="B98" s="63"/>
      <c r="C98" s="63"/>
      <c r="D98" s="63"/>
      <c r="E98" s="63"/>
      <c r="F98" s="63"/>
      <c r="G98" s="63"/>
      <c r="H98" s="63"/>
      <c r="I98" s="63"/>
      <c r="J98" s="63"/>
      <c r="K98" s="63"/>
      <c r="L98" s="63"/>
      <c r="M98" s="63"/>
      <c r="N98" s="63"/>
      <c r="O98" s="63"/>
      <c r="P98" s="63"/>
      <c r="Q98" s="63"/>
      <c r="R98" s="63"/>
      <c r="S98" s="63"/>
      <c r="T98" s="63"/>
      <c r="U98" s="63"/>
      <c r="V98" s="63"/>
    </row>
    <row r="99" spans="1:22">
      <c r="A99" s="63"/>
      <c r="B99" s="63"/>
      <c r="C99" s="63"/>
      <c r="D99" s="63"/>
      <c r="E99" s="63"/>
      <c r="F99" s="63"/>
      <c r="G99" s="63"/>
      <c r="H99" s="63"/>
      <c r="I99" s="63"/>
      <c r="J99" s="63"/>
      <c r="K99" s="63"/>
      <c r="L99" s="63"/>
      <c r="M99" s="63"/>
      <c r="N99" s="63"/>
      <c r="O99" s="63"/>
      <c r="P99" s="63"/>
      <c r="Q99" s="63"/>
      <c r="R99" s="63"/>
      <c r="S99" s="63"/>
      <c r="T99" s="63"/>
      <c r="U99" s="63"/>
      <c r="V99" s="63"/>
    </row>
    <row r="100" spans="1:22">
      <c r="A100" s="63"/>
      <c r="B100" s="63"/>
      <c r="C100" s="63"/>
      <c r="D100" s="63"/>
      <c r="E100" s="63"/>
      <c r="F100" s="63"/>
      <c r="G100" s="63"/>
      <c r="H100" s="63"/>
      <c r="I100" s="63"/>
      <c r="J100" s="63"/>
      <c r="K100" s="63"/>
      <c r="L100" s="63"/>
      <c r="M100" s="63"/>
      <c r="N100" s="63"/>
      <c r="O100" s="63"/>
      <c r="P100" s="63"/>
      <c r="Q100" s="63"/>
      <c r="R100" s="63"/>
      <c r="S100" s="63"/>
      <c r="T100" s="63"/>
      <c r="U100" s="63"/>
      <c r="V100" s="63"/>
    </row>
    <row r="311" ht="12" customHeight="1"/>
  </sheetData>
  <sheetProtection password="EAD7" sheet="1" objects="1" scenarios="1"/>
  <hyperlinks>
    <hyperlink ref="I2" location="Startseite!C7" display="zurück zur Startseite" xr:uid="{00000000-0004-0000-0100-000000000000}"/>
  </hyperlinks>
  <printOptions horizontalCentered="1"/>
  <pageMargins left="0.47244094488188981" right="0.39370078740157483" top="0.78740157480314965" bottom="0" header="0.51181102362204722" footer="0.51181102362204722"/>
  <pageSetup paperSize="9" scale="98" firstPageNumber="6" orientation="portrait" useFirstPageNumber="1" horizontalDpi="1200" verticalDpi="1200" r:id="rId1"/>
  <headerFooter>
    <oddFooter>&amp;L&amp;D&amp;RCopyright: Handwerkskammer Düsseldorf</oddFooter>
  </headerFooter>
  <rowBreaks count="6" manualBreakCount="6">
    <brk id="55" max="7" man="1"/>
    <brk id="114" max="7" man="1"/>
    <brk id="174" max="7" man="1"/>
    <brk id="237" max="7" man="1"/>
    <brk id="294" max="7" man="1"/>
    <brk id="3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4" r:id="rId4" name="Button 2">
              <controlPr defaultSize="0" print="0" autoFill="0" autoPict="0" macro="[0]!Schaltfläche8_BeiKlick">
                <anchor moveWithCells="1" sizeWithCells="1">
                  <from>
                    <xdr:col>4</xdr:col>
                    <xdr:colOff>533400</xdr:colOff>
                    <xdr:row>0</xdr:row>
                    <xdr:rowOff>137160</xdr:rowOff>
                  </from>
                  <to>
                    <xdr:col>6</xdr:col>
                    <xdr:colOff>198120</xdr:colOff>
                    <xdr:row>2</xdr:row>
                    <xdr:rowOff>60960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211">
    <tabColor theme="6" tint="0.79998168889431442"/>
    <pageSetUpPr fitToPage="1"/>
  </sheetPr>
  <dimension ref="A2:AC169"/>
  <sheetViews>
    <sheetView showGridLines="0" zoomScale="70" zoomScaleNormal="70" workbookViewId="0">
      <selection activeCell="A2" sqref="A2"/>
    </sheetView>
  </sheetViews>
  <sheetFormatPr baseColWidth="10" defaultColWidth="11.44140625" defaultRowHeight="13.2" outlineLevelRow="1"/>
  <cols>
    <col min="1" max="1" width="61.33203125" style="17" customWidth="1"/>
    <col min="2" max="2" width="10.44140625" style="53" customWidth="1"/>
    <col min="3" max="16" width="14" style="17" customWidth="1"/>
    <col min="17" max="17" width="12.33203125" style="17" customWidth="1"/>
    <col min="18" max="18" width="25.6640625" style="17" customWidth="1"/>
    <col min="19" max="16384" width="11.44140625" style="17"/>
  </cols>
  <sheetData>
    <row r="2" spans="1:29" ht="15">
      <c r="A2" s="933" t="s">
        <v>508</v>
      </c>
      <c r="B2" s="943" t="str">
        <f>'Liquiditätsplan-1.Jahr'!B2</f>
        <v>nein</v>
      </c>
      <c r="C2" s="934"/>
      <c r="D2" s="1144" t="s">
        <v>502</v>
      </c>
      <c r="E2" s="1145"/>
    </row>
    <row r="4" spans="1:29" s="1" customFormat="1" ht="28.2">
      <c r="A4" s="627" t="str">
        <f xml:space="preserve"> CONCATENATE( "Liquiditätsplanung des 3. Geschäftsjahres des Unternehmens :  ", Startseite!C14)</f>
        <v xml:space="preserve">Liquiditätsplanung des 3. Geschäftsjahres des Unternehmens :  </v>
      </c>
      <c r="B4" s="720"/>
      <c r="C4" s="629"/>
      <c r="D4" s="630"/>
      <c r="E4" s="630"/>
      <c r="F4" s="630"/>
      <c r="G4" s="630"/>
      <c r="H4" s="630"/>
      <c r="I4" s="631">
        <f>'Personalkosten 3. Jahr'!K4</f>
        <v>46337</v>
      </c>
      <c r="J4" s="632" t="s">
        <v>248</v>
      </c>
      <c r="K4" s="631">
        <f>'Personalkosten 3. Jahr'!M4</f>
        <v>46667</v>
      </c>
      <c r="L4" s="630"/>
      <c r="M4" s="936"/>
      <c r="N4" s="936"/>
      <c r="O4" s="936"/>
      <c r="P4" s="936"/>
      <c r="Q4" s="936"/>
      <c r="R4" s="936"/>
      <c r="S4" s="936"/>
      <c r="T4" s="630"/>
      <c r="U4" s="630"/>
      <c r="V4" s="630"/>
      <c r="W4" s="630"/>
      <c r="X4" s="630"/>
      <c r="Y4" s="630"/>
      <c r="Z4" s="630"/>
      <c r="AA4" s="630"/>
      <c r="AB4" s="630"/>
      <c r="AC4" s="630"/>
    </row>
    <row r="5" spans="1:29" s="1" customFormat="1" ht="17.25" customHeight="1">
      <c r="A5" s="633"/>
      <c r="B5" s="721"/>
      <c r="C5" s="633"/>
      <c r="D5" s="630"/>
      <c r="E5" s="630"/>
      <c r="F5" s="630"/>
      <c r="G5" s="630"/>
      <c r="H5" s="630"/>
      <c r="I5" s="630"/>
      <c r="J5" s="630"/>
      <c r="K5" s="630"/>
      <c r="L5" s="630"/>
      <c r="M5" s="936"/>
      <c r="N5" s="937"/>
      <c r="O5" s="1349"/>
      <c r="P5" s="1349"/>
      <c r="Q5" s="936"/>
      <c r="R5" s="936"/>
      <c r="S5" s="936"/>
      <c r="T5" s="630"/>
      <c r="U5" s="630"/>
      <c r="V5" s="630"/>
      <c r="W5" s="630"/>
      <c r="X5" s="630"/>
      <c r="Y5" s="630"/>
      <c r="Z5" s="630"/>
      <c r="AA5" s="630"/>
      <c r="AB5" s="630"/>
      <c r="AC5" s="630"/>
    </row>
    <row r="6" spans="1:29" s="1" customFormat="1" ht="15.6">
      <c r="A6" s="630"/>
      <c r="B6" s="722" t="s">
        <v>424</v>
      </c>
      <c r="C6" s="630"/>
      <c r="D6" s="630"/>
      <c r="E6" s="630"/>
      <c r="F6" s="630"/>
      <c r="G6" s="723"/>
      <c r="H6" s="630"/>
      <c r="I6" s="630"/>
      <c r="J6" s="630"/>
      <c r="K6" s="630"/>
      <c r="L6" s="630"/>
      <c r="M6" s="936"/>
      <c r="N6" s="936"/>
      <c r="O6" s="936"/>
      <c r="P6" s="936"/>
      <c r="Q6" s="936"/>
      <c r="R6" s="936"/>
      <c r="S6" s="936"/>
      <c r="T6" s="630"/>
      <c r="U6" s="630"/>
      <c r="V6" s="630"/>
      <c r="W6" s="630"/>
      <c r="X6" s="630"/>
      <c r="Y6" s="630"/>
      <c r="Z6" s="630"/>
      <c r="AA6" s="630"/>
      <c r="AB6" s="630"/>
      <c r="AC6" s="630"/>
    </row>
    <row r="7" spans="1:29" s="1" customFormat="1" ht="15">
      <c r="A7" s="630"/>
      <c r="B7" s="724">
        <f>'Liquiditätsplan-1.Jahr'!B7</f>
        <v>0.5</v>
      </c>
      <c r="C7" s="636" t="s">
        <v>54</v>
      </c>
      <c r="D7" s="637"/>
      <c r="E7" s="636"/>
      <c r="F7" s="636"/>
      <c r="G7" s="640"/>
      <c r="H7" s="630"/>
      <c r="I7" s="630"/>
      <c r="J7" s="630"/>
      <c r="K7" s="630"/>
      <c r="L7" s="630"/>
      <c r="M7" s="936"/>
      <c r="N7" s="938"/>
      <c r="O7" s="939"/>
      <c r="P7" s="940"/>
      <c r="Q7" s="936"/>
      <c r="R7" s="266"/>
      <c r="S7" s="266"/>
      <c r="T7" s="261"/>
      <c r="U7" s="261"/>
      <c r="V7" s="630"/>
      <c r="W7" s="630"/>
      <c r="X7" s="630"/>
      <c r="Y7" s="630"/>
      <c r="Z7" s="630"/>
      <c r="AA7" s="630"/>
      <c r="AB7" s="630"/>
      <c r="AC7" s="630"/>
    </row>
    <row r="8" spans="1:29" s="1" customFormat="1" ht="15">
      <c r="A8" s="630"/>
      <c r="B8" s="725">
        <f>'Liquiditätsplan-1.Jahr'!B8</f>
        <v>0.4</v>
      </c>
      <c r="C8" s="630" t="s">
        <v>55</v>
      </c>
      <c r="D8" s="639"/>
      <c r="E8" s="630"/>
      <c r="F8" s="630"/>
      <c r="G8" s="640"/>
      <c r="H8" s="630"/>
      <c r="I8" s="630"/>
      <c r="J8" s="630"/>
      <c r="K8" s="630"/>
      <c r="L8" s="630"/>
      <c r="M8" s="936"/>
      <c r="N8" s="936"/>
      <c r="O8" s="936"/>
      <c r="P8" s="936"/>
      <c r="Q8" s="936"/>
      <c r="R8" s="941"/>
      <c r="S8" s="266"/>
      <c r="T8" s="261"/>
      <c r="U8" s="261"/>
      <c r="V8" s="630"/>
      <c r="W8" s="630"/>
      <c r="X8" s="630"/>
      <c r="Y8" s="630"/>
      <c r="Z8" s="630"/>
      <c r="AA8" s="630"/>
      <c r="AB8" s="630"/>
      <c r="AC8" s="630"/>
    </row>
    <row r="9" spans="1:29" s="1" customFormat="1" ht="15">
      <c r="A9" s="630"/>
      <c r="B9" s="726">
        <f>'Liquiditätsplan-1.Jahr'!B9</f>
        <v>0.1</v>
      </c>
      <c r="C9" s="642" t="s">
        <v>56</v>
      </c>
      <c r="D9" s="643"/>
      <c r="E9" s="642"/>
      <c r="F9" s="642"/>
      <c r="G9" s="644"/>
      <c r="H9" s="630"/>
      <c r="I9" s="932"/>
      <c r="J9" s="630"/>
      <c r="K9" s="630"/>
      <c r="L9" s="630"/>
      <c r="M9" s="936"/>
      <c r="N9" s="936"/>
      <c r="O9" s="936"/>
      <c r="P9" s="936"/>
      <c r="Q9" s="936"/>
      <c r="R9" s="942"/>
      <c r="S9" s="266"/>
      <c r="T9" s="261"/>
      <c r="U9" s="261"/>
      <c r="V9" s="630"/>
      <c r="W9" s="630"/>
      <c r="X9" s="630"/>
      <c r="Y9" s="630"/>
      <c r="Z9" s="630"/>
      <c r="AA9" s="630"/>
      <c r="AB9" s="630"/>
      <c r="AC9" s="630"/>
    </row>
    <row r="10" spans="1:29" s="1" customFormat="1" ht="15.6" hidden="1">
      <c r="A10" s="630"/>
      <c r="B10" s="725">
        <f>'Liquiditätsplan-1.Jahr'!B10</f>
        <v>0.19</v>
      </c>
      <c r="C10" s="630" t="s">
        <v>57</v>
      </c>
      <c r="D10" s="758"/>
      <c r="E10" s="630"/>
      <c r="F10" s="630"/>
      <c r="G10" s="640"/>
      <c r="H10" s="630"/>
      <c r="I10" s="932"/>
      <c r="J10" s="630"/>
      <c r="K10" s="630"/>
      <c r="L10" s="630"/>
      <c r="M10" s="936"/>
      <c r="N10" s="936"/>
      <c r="O10" s="936"/>
      <c r="P10" s="936"/>
      <c r="Q10" s="936"/>
      <c r="R10" s="120"/>
      <c r="S10" s="120"/>
      <c r="T10" s="63"/>
      <c r="U10" s="63"/>
      <c r="V10" s="630"/>
      <c r="W10" s="630"/>
      <c r="X10" s="630"/>
      <c r="Y10" s="630"/>
      <c r="Z10" s="630"/>
      <c r="AA10" s="630"/>
      <c r="AB10" s="630"/>
      <c r="AC10" s="630"/>
    </row>
    <row r="11" spans="1:29" s="1" customFormat="1" ht="15" hidden="1">
      <c r="A11" s="630"/>
      <c r="B11" s="726">
        <f>'Liquiditätsplan-1.Jahr'!B11</f>
        <v>0.19</v>
      </c>
      <c r="C11" s="642" t="s">
        <v>58</v>
      </c>
      <c r="D11" s="643"/>
      <c r="E11" s="642"/>
      <c r="F11" s="642"/>
      <c r="G11" s="644"/>
      <c r="H11" s="630"/>
      <c r="I11" s="630"/>
      <c r="J11" s="630"/>
      <c r="K11" s="630"/>
      <c r="L11" s="630"/>
      <c r="M11" s="630"/>
      <c r="N11" s="630"/>
      <c r="O11" s="630"/>
      <c r="P11" s="630"/>
      <c r="Q11" s="630"/>
      <c r="R11" s="630"/>
      <c r="S11" s="630"/>
      <c r="T11" s="630"/>
      <c r="U11" s="630"/>
      <c r="V11" s="630"/>
      <c r="W11" s="630"/>
      <c r="X11" s="630"/>
      <c r="Y11" s="630"/>
      <c r="Z11" s="630"/>
      <c r="AA11" s="630"/>
      <c r="AB11" s="630"/>
      <c r="AC11" s="630"/>
    </row>
    <row r="12" spans="1:29" s="1" customFormat="1" ht="16.2" thickBot="1">
      <c r="A12" s="645"/>
      <c r="B12" s="727"/>
      <c r="C12" s="647"/>
      <c r="D12" s="630"/>
      <c r="E12" s="645"/>
      <c r="F12" s="630"/>
      <c r="G12" s="630"/>
      <c r="H12" s="630"/>
      <c r="I12" s="630"/>
      <c r="J12" s="630"/>
      <c r="K12" s="630"/>
      <c r="L12" s="630"/>
      <c r="M12" s="630"/>
      <c r="N12" s="119"/>
      <c r="O12" s="119"/>
      <c r="P12" s="630"/>
      <c r="Q12" s="630"/>
      <c r="R12" s="630"/>
      <c r="S12" s="630"/>
      <c r="T12" s="630"/>
      <c r="U12" s="630"/>
      <c r="V12" s="630"/>
      <c r="W12" s="630"/>
      <c r="X12" s="630"/>
      <c r="Y12" s="630"/>
      <c r="Z12" s="630"/>
      <c r="AA12" s="630"/>
      <c r="AB12" s="630"/>
      <c r="AC12" s="630"/>
    </row>
    <row r="13" spans="1:29" s="1" customFormat="1" ht="15.6">
      <c r="A13" s="630"/>
      <c r="B13" s="728" t="s">
        <v>426</v>
      </c>
      <c r="C13" s="649" t="s">
        <v>59</v>
      </c>
      <c r="D13" s="650">
        <f>Startseite!D16</f>
        <v>45597</v>
      </c>
      <c r="E13" s="651">
        <f>D13+32</f>
        <v>45629</v>
      </c>
      <c r="F13" s="651">
        <f t="shared" ref="F13:O13" si="0">E13+31</f>
        <v>45660</v>
      </c>
      <c r="G13" s="651">
        <f t="shared" si="0"/>
        <v>45691</v>
      </c>
      <c r="H13" s="651">
        <f t="shared" si="0"/>
        <v>45722</v>
      </c>
      <c r="I13" s="651">
        <f t="shared" si="0"/>
        <v>45753</v>
      </c>
      <c r="J13" s="651">
        <f t="shared" si="0"/>
        <v>45784</v>
      </c>
      <c r="K13" s="651">
        <f t="shared" si="0"/>
        <v>45815</v>
      </c>
      <c r="L13" s="651">
        <f t="shared" si="0"/>
        <v>45846</v>
      </c>
      <c r="M13" s="651">
        <f t="shared" si="0"/>
        <v>45877</v>
      </c>
      <c r="N13" s="651">
        <f t="shared" si="0"/>
        <v>45908</v>
      </c>
      <c r="O13" s="651">
        <f t="shared" si="0"/>
        <v>45939</v>
      </c>
      <c r="P13" s="652" t="s">
        <v>444</v>
      </c>
      <c r="Q13" s="630"/>
      <c r="R13" s="630"/>
      <c r="S13" s="630"/>
      <c r="T13" s="630"/>
      <c r="U13" s="630"/>
      <c r="V13" s="630"/>
      <c r="W13" s="630"/>
      <c r="X13" s="630"/>
      <c r="Y13" s="630"/>
      <c r="Z13" s="630"/>
      <c r="AA13" s="630"/>
      <c r="AB13" s="630"/>
      <c r="AC13" s="630"/>
    </row>
    <row r="14" spans="1:29" s="1" customFormat="1" ht="15.6">
      <c r="A14" s="653" t="s">
        <v>61</v>
      </c>
      <c r="B14" s="728"/>
      <c r="C14" s="654">
        <f>Rentabilität!J22</f>
        <v>0</v>
      </c>
      <c r="D14" s="828">
        <f>Hilfstabelle!B180</f>
        <v>0</v>
      </c>
      <c r="E14" s="828">
        <f>Hilfstabelle!C180</f>
        <v>0</v>
      </c>
      <c r="F14" s="828">
        <f>Hilfstabelle!D180</f>
        <v>0</v>
      </c>
      <c r="G14" s="828">
        <f>Hilfstabelle!E180</f>
        <v>0</v>
      </c>
      <c r="H14" s="828">
        <f>Hilfstabelle!F180</f>
        <v>0</v>
      </c>
      <c r="I14" s="828">
        <f>Hilfstabelle!G180</f>
        <v>0</v>
      </c>
      <c r="J14" s="828">
        <f>Hilfstabelle!H180</f>
        <v>0</v>
      </c>
      <c r="K14" s="828">
        <f>Hilfstabelle!I180</f>
        <v>0</v>
      </c>
      <c r="L14" s="828">
        <f>Hilfstabelle!J180</f>
        <v>0</v>
      </c>
      <c r="M14" s="828">
        <f>Hilfstabelle!K180</f>
        <v>0</v>
      </c>
      <c r="N14" s="828">
        <f>Hilfstabelle!L180</f>
        <v>0</v>
      </c>
      <c r="O14" s="828">
        <f>Hilfstabelle!M180</f>
        <v>0</v>
      </c>
      <c r="P14" s="655">
        <f>SUM(D14:O14)</f>
        <v>0</v>
      </c>
      <c r="Q14" s="686" t="str">
        <f>IF(AND(P14&lt;&gt;C14,P14&lt;&gt;0),"Überprüfe Eintragung","")</f>
        <v/>
      </c>
      <c r="R14" s="630"/>
      <c r="S14" s="630"/>
      <c r="T14" s="630"/>
      <c r="U14" s="630"/>
      <c r="V14" s="630"/>
      <c r="W14" s="630"/>
      <c r="X14" s="630"/>
      <c r="Y14" s="630"/>
      <c r="Z14" s="630"/>
      <c r="AA14" s="630"/>
      <c r="AB14" s="630"/>
      <c r="AC14" s="630"/>
    </row>
    <row r="15" spans="1:29" s="1" customFormat="1" ht="15.6">
      <c r="A15" s="657" t="s">
        <v>62</v>
      </c>
      <c r="B15" s="759"/>
      <c r="C15" s="760">
        <f>IF(Hilfstabelle!H153="ja",Rentabilität!E12*Rentabilität!J12+Rentabilität!E13*Rentabilität!J13+Rentabilität!E14*Rentabilität!J14+Rentabilität!E15*Rentabilität!J15+Rentabilität!E16*Rentabilität!J16+Rentabilität!E17*Rentabilität!J17+Rentabilität!E18*Rentabilität!J18+Rentabilität!E19*Rentabilität!J19+Rentabilität!E20*Rentabilität!J20+Rentabilität!E21*Rentabilität!J21,0)</f>
        <v>0</v>
      </c>
      <c r="D15" s="660">
        <f>IF($C$14&gt;0,$C$15/$C$14*D14,0)</f>
        <v>0</v>
      </c>
      <c r="E15" s="660">
        <f t="shared" ref="E15:O15" si="1">IF($C$14&gt;0,$C$15/$C$14*E14,0)</f>
        <v>0</v>
      </c>
      <c r="F15" s="660">
        <f t="shared" si="1"/>
        <v>0</v>
      </c>
      <c r="G15" s="660">
        <f t="shared" si="1"/>
        <v>0</v>
      </c>
      <c r="H15" s="660">
        <f t="shared" si="1"/>
        <v>0</v>
      </c>
      <c r="I15" s="660">
        <f t="shared" si="1"/>
        <v>0</v>
      </c>
      <c r="J15" s="660">
        <f t="shared" si="1"/>
        <v>0</v>
      </c>
      <c r="K15" s="660">
        <f t="shared" si="1"/>
        <v>0</v>
      </c>
      <c r="L15" s="660">
        <f t="shared" si="1"/>
        <v>0</v>
      </c>
      <c r="M15" s="660">
        <f t="shared" si="1"/>
        <v>0</v>
      </c>
      <c r="N15" s="660">
        <f t="shared" si="1"/>
        <v>0</v>
      </c>
      <c r="O15" s="660">
        <f t="shared" si="1"/>
        <v>0</v>
      </c>
      <c r="P15" s="675">
        <f>SUM(D15:O15)</f>
        <v>0</v>
      </c>
      <c r="Q15" s="686"/>
      <c r="R15" s="630"/>
      <c r="S15" s="630"/>
      <c r="T15" s="630"/>
      <c r="U15" s="630"/>
      <c r="V15" s="630"/>
      <c r="W15" s="630"/>
      <c r="X15" s="630"/>
      <c r="Y15" s="630"/>
      <c r="Z15" s="630"/>
      <c r="AA15" s="630"/>
      <c r="AB15" s="630"/>
      <c r="AC15" s="630"/>
    </row>
    <row r="16" spans="1:29" s="1" customFormat="1" ht="15.6">
      <c r="A16" s="662"/>
      <c r="B16" s="761"/>
      <c r="C16" s="762"/>
      <c r="D16" s="761" t="str">
        <f>IF(Hilfstabelle!$H$153="nein","&lt;","")</f>
        <v/>
      </c>
      <c r="E16" s="761" t="str">
        <f>IF(Hilfstabelle!$H$153="nein","-","")</f>
        <v/>
      </c>
      <c r="F16" s="761" t="str">
        <f>IF(Hilfstabelle!$H$153="nein","-","")</f>
        <v/>
      </c>
      <c r="G16" s="761" t="str">
        <f>IF(Hilfstabelle!$H$153="nein","-","")</f>
        <v/>
      </c>
      <c r="H16" s="761" t="str">
        <f>IF(Hilfstabelle!$H$153="nein","-","")</f>
        <v/>
      </c>
      <c r="I16" s="1350" t="str">
        <f>IF(Hilfstabelle!$H$153="nein","Kleinunternehmerregelung","")</f>
        <v/>
      </c>
      <c r="J16" s="1350"/>
      <c r="K16" s="761" t="str">
        <f>IF(Hilfstabelle!$H$153="nein","-","")</f>
        <v/>
      </c>
      <c r="L16" s="761" t="str">
        <f>IF(Hilfstabelle!$H$153="nein","-","")</f>
        <v/>
      </c>
      <c r="M16" s="761" t="str">
        <f>IF(Hilfstabelle!$H$153="nein","-","")</f>
        <v/>
      </c>
      <c r="N16" s="761" t="str">
        <f>IF(Hilfstabelle!$H$153="nein","-","")</f>
        <v/>
      </c>
      <c r="O16" s="761" t="str">
        <f>IF(Hilfstabelle!$H$153="nein","&gt;","")</f>
        <v/>
      </c>
      <c r="P16" s="662"/>
      <c r="Q16" s="686"/>
      <c r="R16" s="630"/>
      <c r="S16" s="630"/>
      <c r="T16" s="630"/>
      <c r="U16" s="630"/>
      <c r="V16" s="630"/>
      <c r="W16" s="630"/>
      <c r="X16" s="630"/>
      <c r="Y16" s="630"/>
      <c r="Z16" s="630"/>
      <c r="AA16" s="630"/>
      <c r="AB16" s="630"/>
      <c r="AC16" s="630"/>
    </row>
    <row r="17" spans="1:29" s="1" customFormat="1" ht="15.6">
      <c r="A17" s="633" t="s">
        <v>63</v>
      </c>
      <c r="B17" s="732"/>
      <c r="C17" s="668"/>
      <c r="D17" s="669"/>
      <c r="E17" s="669"/>
      <c r="F17" s="669"/>
      <c r="G17" s="669"/>
      <c r="H17" s="669"/>
      <c r="I17" s="669"/>
      <c r="J17" s="669"/>
      <c r="K17" s="669"/>
      <c r="L17" s="669"/>
      <c r="M17" s="669"/>
      <c r="N17" s="669"/>
      <c r="O17" s="669"/>
      <c r="P17" s="715"/>
      <c r="Q17" s="686"/>
      <c r="R17" s="630"/>
      <c r="S17" s="630"/>
      <c r="T17" s="630"/>
      <c r="U17" s="630"/>
      <c r="V17" s="630"/>
      <c r="W17" s="630"/>
      <c r="X17" s="630"/>
      <c r="Y17" s="630"/>
      <c r="Z17" s="630"/>
      <c r="AA17" s="630"/>
      <c r="AB17" s="630"/>
      <c r="AC17" s="630"/>
    </row>
    <row r="18" spans="1:29" s="1" customFormat="1" ht="15.6">
      <c r="A18" s="657" t="s">
        <v>68</v>
      </c>
      <c r="B18" s="733"/>
      <c r="C18" s="672">
        <f>C14+C15</f>
        <v>0</v>
      </c>
      <c r="D18" s="673">
        <f>(D14+D15)*$B$7</f>
        <v>0</v>
      </c>
      <c r="E18" s="673">
        <f>(D14+D15)*B8+(E14+E15)*B7</f>
        <v>0</v>
      </c>
      <c r="F18" s="673">
        <f>(D14+D15)*$B$9+(E14+E15)*$B$8+(F14+F15)*$B$7</f>
        <v>0</v>
      </c>
      <c r="G18" s="673">
        <f t="shared" ref="G18:O18" si="2">(E14+E15)*$B$9+(F14+F15)*$B$8+(G14+G15)*$B$7</f>
        <v>0</v>
      </c>
      <c r="H18" s="673">
        <f t="shared" si="2"/>
        <v>0</v>
      </c>
      <c r="I18" s="673">
        <f t="shared" si="2"/>
        <v>0</v>
      </c>
      <c r="J18" s="673">
        <f t="shared" si="2"/>
        <v>0</v>
      </c>
      <c r="K18" s="673">
        <f t="shared" si="2"/>
        <v>0</v>
      </c>
      <c r="L18" s="673">
        <f t="shared" si="2"/>
        <v>0</v>
      </c>
      <c r="M18" s="673">
        <f t="shared" si="2"/>
        <v>0</v>
      </c>
      <c r="N18" s="673">
        <f t="shared" si="2"/>
        <v>0</v>
      </c>
      <c r="O18" s="673">
        <f t="shared" si="2"/>
        <v>0</v>
      </c>
      <c r="P18" s="675">
        <f>SUM(D18:O18)</f>
        <v>0</v>
      </c>
      <c r="Q18" s="686"/>
      <c r="R18" s="630"/>
      <c r="S18" s="630"/>
      <c r="T18" s="630"/>
      <c r="U18" s="630"/>
      <c r="V18" s="630"/>
      <c r="W18" s="630"/>
      <c r="X18" s="630"/>
      <c r="Y18" s="630"/>
      <c r="Z18" s="630"/>
      <c r="AA18" s="630"/>
      <c r="AB18" s="630"/>
      <c r="AC18" s="630"/>
    </row>
    <row r="19" spans="1:29" s="1" customFormat="1" ht="15.6">
      <c r="A19" s="657" t="s">
        <v>236</v>
      </c>
      <c r="B19" s="730"/>
      <c r="C19" s="659">
        <f>('Liquiditätsplan-2.Jahr'!N14+'Liquiditätsplan-2.Jahr'!N15)*B9+('Liquiditätsplan-2.Jahr'!O14+'Liquiditätsplan-2.Jahr'!O15)*(B8+B9)</f>
        <v>0</v>
      </c>
      <c r="D19" s="659">
        <f>('Liquiditätsplan-2.Jahr'!N14+'Liquiditätsplan-2.Jahr'!N15)*B9+('Liquiditätsplan-2.Jahr'!O14+'Liquiditätsplan-2.Jahr'!O15)*B8</f>
        <v>0</v>
      </c>
      <c r="E19" s="659">
        <f>('Liquiditätsplan-2.Jahr'!O14+'Liquiditätsplan-2.Jahr'!O15)*B9</f>
        <v>0</v>
      </c>
      <c r="F19" s="659"/>
      <c r="G19" s="659"/>
      <c r="H19" s="659"/>
      <c r="I19" s="659"/>
      <c r="J19" s="659"/>
      <c r="K19" s="659"/>
      <c r="L19" s="659"/>
      <c r="M19" s="659"/>
      <c r="N19" s="659"/>
      <c r="O19" s="659"/>
      <c r="P19" s="675">
        <f>SUM(D19:O19)</f>
        <v>0</v>
      </c>
      <c r="Q19" s="686"/>
      <c r="R19" s="630"/>
      <c r="S19" s="630"/>
      <c r="T19" s="630"/>
      <c r="U19" s="630"/>
      <c r="V19" s="630"/>
      <c r="W19" s="630"/>
      <c r="X19" s="630"/>
      <c r="Y19" s="630"/>
      <c r="Z19" s="630"/>
      <c r="AA19" s="630"/>
      <c r="AB19" s="630"/>
      <c r="AC19" s="630"/>
    </row>
    <row r="20" spans="1:29" s="1" customFormat="1" ht="16.2" thickBot="1">
      <c r="A20" s="657" t="s">
        <v>289</v>
      </c>
      <c r="B20" s="728"/>
      <c r="C20" s="828"/>
      <c r="D20" s="828"/>
      <c r="E20" s="828"/>
      <c r="F20" s="828"/>
      <c r="G20" s="828"/>
      <c r="H20" s="828"/>
      <c r="I20" s="828"/>
      <c r="J20" s="828"/>
      <c r="K20" s="828"/>
      <c r="L20" s="828"/>
      <c r="M20" s="828"/>
      <c r="N20" s="828"/>
      <c r="O20" s="830"/>
      <c r="P20" s="661">
        <f>SUM(D20:O20)</f>
        <v>0</v>
      </c>
      <c r="Q20" s="656" t="str">
        <f>IF(ABS(P20-C20)&gt;100,"Überprüfe Eintragung","")</f>
        <v/>
      </c>
      <c r="R20" s="630"/>
      <c r="S20" s="630"/>
      <c r="T20" s="630"/>
      <c r="U20" s="630"/>
      <c r="V20" s="630"/>
      <c r="W20" s="630"/>
      <c r="X20" s="630"/>
      <c r="Y20" s="630"/>
      <c r="Z20" s="630"/>
      <c r="AA20" s="630"/>
      <c r="AB20" s="630"/>
      <c r="AC20" s="630"/>
    </row>
    <row r="21" spans="1:29" s="1" customFormat="1" ht="16.8" thickTop="1" thickBot="1">
      <c r="A21" s="677" t="s">
        <v>190</v>
      </c>
      <c r="B21" s="735"/>
      <c r="C21" s="679">
        <f>C18+C19+C20</f>
        <v>0</v>
      </c>
      <c r="D21" s="679">
        <f t="shared" ref="D21:O21" si="3">D18+D19+D20</f>
        <v>0</v>
      </c>
      <c r="E21" s="679">
        <f t="shared" si="3"/>
        <v>0</v>
      </c>
      <c r="F21" s="679">
        <f t="shared" si="3"/>
        <v>0</v>
      </c>
      <c r="G21" s="679">
        <f t="shared" si="3"/>
        <v>0</v>
      </c>
      <c r="H21" s="679">
        <f t="shared" si="3"/>
        <v>0</v>
      </c>
      <c r="I21" s="679">
        <f t="shared" si="3"/>
        <v>0</v>
      </c>
      <c r="J21" s="679">
        <f t="shared" si="3"/>
        <v>0</v>
      </c>
      <c r="K21" s="679">
        <f t="shared" si="3"/>
        <v>0</v>
      </c>
      <c r="L21" s="679">
        <f t="shared" si="3"/>
        <v>0</v>
      </c>
      <c r="M21" s="679">
        <f t="shared" si="3"/>
        <v>0</v>
      </c>
      <c r="N21" s="679">
        <f t="shared" si="3"/>
        <v>0</v>
      </c>
      <c r="O21" s="679">
        <f t="shared" si="3"/>
        <v>0</v>
      </c>
      <c r="P21" s="681">
        <f>SUM(D21:O21)</f>
        <v>0</v>
      </c>
      <c r="Q21" s="686"/>
      <c r="R21" s="630"/>
      <c r="S21" s="630"/>
      <c r="T21" s="630"/>
      <c r="U21" s="630"/>
      <c r="V21" s="630"/>
      <c r="W21" s="630"/>
      <c r="X21" s="630"/>
      <c r="Y21" s="630"/>
      <c r="Z21" s="630"/>
      <c r="AA21" s="630"/>
      <c r="AB21" s="630"/>
      <c r="AC21" s="630"/>
    </row>
    <row r="22" spans="1:29" s="1" customFormat="1" ht="16.2" thickTop="1">
      <c r="A22" s="630"/>
      <c r="B22" s="738"/>
      <c r="C22" s="683"/>
      <c r="D22" s="684"/>
      <c r="E22" s="684"/>
      <c r="F22" s="684"/>
      <c r="G22" s="684"/>
      <c r="H22" s="684"/>
      <c r="I22" s="684"/>
      <c r="J22" s="684"/>
      <c r="K22" s="684"/>
      <c r="L22" s="684"/>
      <c r="M22" s="684"/>
      <c r="N22" s="684"/>
      <c r="O22" s="684"/>
      <c r="P22" s="684"/>
      <c r="Q22" s="686"/>
      <c r="R22" s="630"/>
      <c r="S22" s="630"/>
      <c r="T22" s="630"/>
      <c r="U22" s="630"/>
      <c r="V22" s="630"/>
      <c r="W22" s="630"/>
      <c r="X22" s="630"/>
      <c r="Y22" s="630"/>
      <c r="Z22" s="630"/>
      <c r="AA22" s="630"/>
      <c r="AB22" s="630"/>
      <c r="AC22" s="630"/>
    </row>
    <row r="23" spans="1:29" s="1" customFormat="1" ht="15.75" customHeight="1">
      <c r="A23" s="666" t="s">
        <v>105</v>
      </c>
      <c r="B23" s="732"/>
      <c r="C23" s="668"/>
      <c r="D23" s="685"/>
      <c r="E23" s="685"/>
      <c r="F23" s="685"/>
      <c r="G23" s="685"/>
      <c r="H23" s="685"/>
      <c r="I23" s="685"/>
      <c r="J23" s="685"/>
      <c r="K23" s="685"/>
      <c r="L23" s="685"/>
      <c r="M23" s="685"/>
      <c r="N23" s="685"/>
      <c r="O23" s="685"/>
      <c r="P23" s="685"/>
      <c r="Q23" s="686"/>
      <c r="R23" s="630"/>
      <c r="S23" s="630"/>
      <c r="T23" s="630"/>
      <c r="U23" s="630"/>
      <c r="V23" s="630"/>
      <c r="W23" s="630"/>
      <c r="X23" s="630"/>
      <c r="Y23" s="630"/>
      <c r="Z23" s="630"/>
      <c r="AA23" s="630"/>
      <c r="AB23" s="630"/>
      <c r="AC23" s="630"/>
    </row>
    <row r="24" spans="1:29" s="1" customFormat="1" ht="15.75" customHeight="1">
      <c r="A24" s="670" t="s">
        <v>82</v>
      </c>
      <c r="B24" s="733" t="s">
        <v>81</v>
      </c>
      <c r="C24" s="672">
        <f>Rentabilität!J34</f>
        <v>0</v>
      </c>
      <c r="D24" s="829">
        <f>D14*Rentabilität!$K34/100</f>
        <v>0</v>
      </c>
      <c r="E24" s="829">
        <f>E14*Rentabilität!$K34/100</f>
        <v>0</v>
      </c>
      <c r="F24" s="829">
        <f>F14*Rentabilität!$K34/100</f>
        <v>0</v>
      </c>
      <c r="G24" s="829">
        <f>G14*Rentabilität!$K34/100</f>
        <v>0</v>
      </c>
      <c r="H24" s="829">
        <f>H14*Rentabilität!$K34/100</f>
        <v>0</v>
      </c>
      <c r="I24" s="829">
        <f>I14*Rentabilität!$K34/100</f>
        <v>0</v>
      </c>
      <c r="J24" s="829">
        <f>J14*Rentabilität!$K34/100</f>
        <v>0</v>
      </c>
      <c r="K24" s="829">
        <f>K14*Rentabilität!$K34/100</f>
        <v>0</v>
      </c>
      <c r="L24" s="829">
        <f>L14*Rentabilität!$K34/100</f>
        <v>0</v>
      </c>
      <c r="M24" s="829">
        <f>M14*Rentabilität!$K34/100</f>
        <v>0</v>
      </c>
      <c r="N24" s="829">
        <f>N14*Rentabilität!$K34/100</f>
        <v>0</v>
      </c>
      <c r="O24" s="829">
        <f>O14*Rentabilität!$K34/100</f>
        <v>0</v>
      </c>
      <c r="P24" s="674">
        <f>SUM(D24:O24)</f>
        <v>0</v>
      </c>
      <c r="Q24" s="656" t="str">
        <f>IF(AND(ABS(P24-C24)&gt;50,P24&lt;&gt;0),"Überprüfe Eintragung","")</f>
        <v/>
      </c>
      <c r="R24" s="630"/>
      <c r="S24" s="630"/>
      <c r="T24" s="630"/>
      <c r="U24" s="630"/>
      <c r="V24" s="630"/>
      <c r="W24" s="630"/>
      <c r="X24" s="630"/>
      <c r="Y24" s="630"/>
      <c r="Z24" s="630"/>
      <c r="AA24" s="630"/>
      <c r="AB24" s="630"/>
      <c r="AC24" s="630"/>
    </row>
    <row r="25" spans="1:29" s="1" customFormat="1" ht="15.75" customHeight="1">
      <c r="A25" s="657" t="s">
        <v>83</v>
      </c>
      <c r="B25" s="730" t="s">
        <v>81</v>
      </c>
      <c r="C25" s="659">
        <f>Rentabilität!J23</f>
        <v>0</v>
      </c>
      <c r="D25" s="828">
        <f>D14*Rentabilität!$K23/100</f>
        <v>0</v>
      </c>
      <c r="E25" s="828">
        <f>E14*Rentabilität!$K23/100</f>
        <v>0</v>
      </c>
      <c r="F25" s="828">
        <f>F14*Rentabilität!$K23/100</f>
        <v>0</v>
      </c>
      <c r="G25" s="828">
        <f>G14*Rentabilität!$K23/100</f>
        <v>0</v>
      </c>
      <c r="H25" s="828">
        <f>H14*Rentabilität!$K23/100</f>
        <v>0</v>
      </c>
      <c r="I25" s="828">
        <f>I14*Rentabilität!$K23/100</f>
        <v>0</v>
      </c>
      <c r="J25" s="828">
        <f>J14*Rentabilität!$K23/100</f>
        <v>0</v>
      </c>
      <c r="K25" s="828">
        <f>K14*Rentabilität!$K23/100</f>
        <v>0</v>
      </c>
      <c r="L25" s="828">
        <f>L14*Rentabilität!$K23/100</f>
        <v>0</v>
      </c>
      <c r="M25" s="828">
        <f>M14*Rentabilität!$K23/100</f>
        <v>0</v>
      </c>
      <c r="N25" s="828">
        <f>N14*Rentabilität!$K23/100</f>
        <v>0</v>
      </c>
      <c r="O25" s="828">
        <f>O14*Rentabilität!$K23/100</f>
        <v>0</v>
      </c>
      <c r="P25" s="675">
        <f>SUM(D25:O25)</f>
        <v>0</v>
      </c>
      <c r="Q25" s="656" t="str">
        <f t="shared" ref="Q25:Q49" si="4">IF(AND(ABS(P25-C25)&gt;50,P25&lt;&gt;0),"Überprüfe Eintragung","")</f>
        <v/>
      </c>
      <c r="R25" s="630"/>
      <c r="S25" s="630"/>
      <c r="T25" s="630"/>
      <c r="U25" s="630"/>
      <c r="V25" s="630"/>
      <c r="W25" s="630"/>
      <c r="X25" s="630"/>
      <c r="Y25" s="630"/>
      <c r="Z25" s="630"/>
      <c r="AA25" s="630"/>
      <c r="AB25" s="630"/>
      <c r="AC25" s="630"/>
    </row>
    <row r="26" spans="1:29" s="1" customFormat="1" ht="15.75" customHeight="1">
      <c r="A26" s="657" t="s">
        <v>123</v>
      </c>
      <c r="B26" s="730" t="s">
        <v>80</v>
      </c>
      <c r="C26" s="659">
        <f>Rentabilität!J36</f>
        <v>0</v>
      </c>
      <c r="D26" s="828">
        <f>Hilfstabelle!B95</f>
        <v>0</v>
      </c>
      <c r="E26" s="828">
        <f>Hilfstabelle!C95</f>
        <v>0</v>
      </c>
      <c r="F26" s="828">
        <f>Hilfstabelle!D95</f>
        <v>0</v>
      </c>
      <c r="G26" s="828">
        <f>Hilfstabelle!E95</f>
        <v>0</v>
      </c>
      <c r="H26" s="828">
        <f>Hilfstabelle!F95</f>
        <v>0</v>
      </c>
      <c r="I26" s="828">
        <f>Hilfstabelle!G95</f>
        <v>0</v>
      </c>
      <c r="J26" s="828">
        <f>Hilfstabelle!H95</f>
        <v>0</v>
      </c>
      <c r="K26" s="828">
        <f>Hilfstabelle!I95</f>
        <v>0</v>
      </c>
      <c r="L26" s="828">
        <f>Hilfstabelle!J95</f>
        <v>0</v>
      </c>
      <c r="M26" s="828">
        <f>Hilfstabelle!K95</f>
        <v>0</v>
      </c>
      <c r="N26" s="828">
        <f>Hilfstabelle!L95</f>
        <v>0</v>
      </c>
      <c r="O26" s="828">
        <f>Hilfstabelle!M95</f>
        <v>0</v>
      </c>
      <c r="P26" s="675">
        <f>SUM(D26:O26)</f>
        <v>0</v>
      </c>
      <c r="Q26" s="656" t="str">
        <f t="shared" si="4"/>
        <v/>
      </c>
      <c r="R26" s="630"/>
      <c r="S26" s="630"/>
      <c r="T26" s="630"/>
      <c r="U26" s="630"/>
      <c r="V26" s="630"/>
      <c r="W26" s="630"/>
      <c r="X26" s="630"/>
      <c r="Y26" s="630"/>
      <c r="Z26" s="630"/>
      <c r="AA26" s="630"/>
      <c r="AB26" s="630"/>
      <c r="AC26" s="630"/>
    </row>
    <row r="27" spans="1:29" s="1" customFormat="1" ht="15.75" customHeight="1">
      <c r="A27" s="657" t="str">
        <f>'übrige Kosten'!A10</f>
        <v>Raumkosten (Miete, Pacht)</v>
      </c>
      <c r="B27" s="879" t="str">
        <f>'Liquiditätsplan-2.Jahr'!B27</f>
        <v>nein</v>
      </c>
      <c r="C27" s="659">
        <f>IF('übrige Kosten'!G10="",0,'übrige Kosten'!G10)</f>
        <v>0</v>
      </c>
      <c r="D27" s="828">
        <f>Hilfstabelle!B181</f>
        <v>0</v>
      </c>
      <c r="E27" s="828">
        <f>Hilfstabelle!C181</f>
        <v>0</v>
      </c>
      <c r="F27" s="828">
        <f>Hilfstabelle!D181</f>
        <v>0</v>
      </c>
      <c r="G27" s="828">
        <f>Hilfstabelle!E181</f>
        <v>0</v>
      </c>
      <c r="H27" s="828">
        <f>Hilfstabelle!F181</f>
        <v>0</v>
      </c>
      <c r="I27" s="828">
        <f>Hilfstabelle!G181</f>
        <v>0</v>
      </c>
      <c r="J27" s="828">
        <f>Hilfstabelle!H181</f>
        <v>0</v>
      </c>
      <c r="K27" s="828">
        <f>Hilfstabelle!I181</f>
        <v>0</v>
      </c>
      <c r="L27" s="828">
        <f>Hilfstabelle!J181</f>
        <v>0</v>
      </c>
      <c r="M27" s="828">
        <f>Hilfstabelle!K181</f>
        <v>0</v>
      </c>
      <c r="N27" s="828">
        <f>Hilfstabelle!L181</f>
        <v>0</v>
      </c>
      <c r="O27" s="828">
        <f>Hilfstabelle!M181</f>
        <v>0</v>
      </c>
      <c r="P27" s="675">
        <f t="shared" ref="P27:P54" si="5">SUM(D27:O27)</f>
        <v>0</v>
      </c>
      <c r="Q27" s="656" t="str">
        <f t="shared" si="4"/>
        <v/>
      </c>
      <c r="R27" s="630"/>
      <c r="S27" s="630"/>
      <c r="T27" s="630"/>
      <c r="U27" s="630"/>
      <c r="V27" s="630"/>
      <c r="W27" s="630"/>
      <c r="X27" s="630"/>
      <c r="Y27" s="630"/>
      <c r="Z27" s="630"/>
      <c r="AA27" s="630"/>
      <c r="AB27" s="630"/>
      <c r="AC27" s="630"/>
    </row>
    <row r="28" spans="1:29" s="1" customFormat="1" ht="15.75" customHeight="1">
      <c r="A28" s="657" t="str">
        <f>'übrige Kosten'!A11</f>
        <v>Energiekosten (Strom, Heizung, Wasser)</v>
      </c>
      <c r="B28" s="730" t="s">
        <v>81</v>
      </c>
      <c r="C28" s="659">
        <f>IF('übrige Kosten'!G11="",0,'übrige Kosten'!G11)</f>
        <v>0</v>
      </c>
      <c r="D28" s="828">
        <f>Hilfstabelle!B182</f>
        <v>0</v>
      </c>
      <c r="E28" s="828">
        <f>Hilfstabelle!C182</f>
        <v>0</v>
      </c>
      <c r="F28" s="828">
        <f>Hilfstabelle!D182</f>
        <v>0</v>
      </c>
      <c r="G28" s="828">
        <f>Hilfstabelle!E182</f>
        <v>0</v>
      </c>
      <c r="H28" s="828">
        <f>Hilfstabelle!F182</f>
        <v>0</v>
      </c>
      <c r="I28" s="828">
        <f>Hilfstabelle!G182</f>
        <v>0</v>
      </c>
      <c r="J28" s="828">
        <f>Hilfstabelle!H182</f>
        <v>0</v>
      </c>
      <c r="K28" s="828">
        <f>Hilfstabelle!I182</f>
        <v>0</v>
      </c>
      <c r="L28" s="828">
        <f>Hilfstabelle!J182</f>
        <v>0</v>
      </c>
      <c r="M28" s="828">
        <f>Hilfstabelle!K182</f>
        <v>0</v>
      </c>
      <c r="N28" s="828">
        <f>Hilfstabelle!L182</f>
        <v>0</v>
      </c>
      <c r="O28" s="828">
        <f>Hilfstabelle!M182</f>
        <v>0</v>
      </c>
      <c r="P28" s="675">
        <f t="shared" si="5"/>
        <v>0</v>
      </c>
      <c r="Q28" s="656" t="str">
        <f t="shared" si="4"/>
        <v/>
      </c>
      <c r="R28" s="630"/>
      <c r="S28" s="630"/>
      <c r="T28" s="630"/>
      <c r="U28" s="630"/>
      <c r="V28" s="630"/>
      <c r="W28" s="630"/>
      <c r="X28" s="630"/>
      <c r="Y28" s="630"/>
      <c r="Z28" s="630"/>
      <c r="AA28" s="630"/>
      <c r="AB28" s="630"/>
      <c r="AC28" s="630"/>
    </row>
    <row r="29" spans="1:29" s="1" customFormat="1" ht="15.75" customHeight="1">
      <c r="A29" s="657" t="str">
        <f>'übrige Kosten'!A12</f>
        <v>Versicherung, Beiträge</v>
      </c>
      <c r="B29" s="730" t="s">
        <v>80</v>
      </c>
      <c r="C29" s="659">
        <f>IF('übrige Kosten'!G12="",0,'übrige Kosten'!G12)</f>
        <v>0</v>
      </c>
      <c r="D29" s="828">
        <f>Hilfstabelle!B183</f>
        <v>0</v>
      </c>
      <c r="E29" s="828">
        <f>Hilfstabelle!C183</f>
        <v>0</v>
      </c>
      <c r="F29" s="828">
        <f>Hilfstabelle!D183</f>
        <v>0</v>
      </c>
      <c r="G29" s="828">
        <f>Hilfstabelle!E183</f>
        <v>0</v>
      </c>
      <c r="H29" s="828">
        <f>Hilfstabelle!F183</f>
        <v>0</v>
      </c>
      <c r="I29" s="828">
        <f>Hilfstabelle!G183</f>
        <v>0</v>
      </c>
      <c r="J29" s="828">
        <f>Hilfstabelle!H183</f>
        <v>0</v>
      </c>
      <c r="K29" s="828">
        <f>Hilfstabelle!I183</f>
        <v>0</v>
      </c>
      <c r="L29" s="828">
        <f>Hilfstabelle!J183</f>
        <v>0</v>
      </c>
      <c r="M29" s="828">
        <f>Hilfstabelle!K183</f>
        <v>0</v>
      </c>
      <c r="N29" s="828">
        <f>Hilfstabelle!L183</f>
        <v>0</v>
      </c>
      <c r="O29" s="828">
        <f>Hilfstabelle!M183</f>
        <v>0</v>
      </c>
      <c r="P29" s="675">
        <f t="shared" si="5"/>
        <v>0</v>
      </c>
      <c r="Q29" s="656" t="str">
        <f t="shared" si="4"/>
        <v/>
      </c>
      <c r="R29" s="630"/>
      <c r="S29" s="630"/>
      <c r="T29" s="630"/>
      <c r="U29" s="630"/>
      <c r="V29" s="630"/>
      <c r="W29" s="630"/>
      <c r="X29" s="630"/>
      <c r="Y29" s="630"/>
      <c r="Z29" s="630"/>
      <c r="AA29" s="630"/>
      <c r="AB29" s="630"/>
      <c r="AC29" s="630"/>
    </row>
    <row r="30" spans="1:29" s="1" customFormat="1" ht="15.75" customHeight="1">
      <c r="A30" s="657" t="str">
        <f>'übrige Kosten'!A13</f>
        <v>Kfz-Kosten (incl. Leasing, Steuern, Vers., Rep., ohne AfA)</v>
      </c>
      <c r="B30" s="730" t="s">
        <v>81</v>
      </c>
      <c r="C30" s="659">
        <f>IF('übrige Kosten'!G13="",0,'übrige Kosten'!G13)</f>
        <v>0</v>
      </c>
      <c r="D30" s="828">
        <f>Hilfstabelle!B184</f>
        <v>0</v>
      </c>
      <c r="E30" s="828">
        <f>Hilfstabelle!C184</f>
        <v>0</v>
      </c>
      <c r="F30" s="828">
        <f>Hilfstabelle!D184</f>
        <v>0</v>
      </c>
      <c r="G30" s="828">
        <f>Hilfstabelle!E184</f>
        <v>0</v>
      </c>
      <c r="H30" s="828">
        <f>Hilfstabelle!F184</f>
        <v>0</v>
      </c>
      <c r="I30" s="828">
        <f>Hilfstabelle!G184</f>
        <v>0</v>
      </c>
      <c r="J30" s="828">
        <f>Hilfstabelle!H184</f>
        <v>0</v>
      </c>
      <c r="K30" s="828">
        <f>Hilfstabelle!I184</f>
        <v>0</v>
      </c>
      <c r="L30" s="828">
        <f>Hilfstabelle!J184</f>
        <v>0</v>
      </c>
      <c r="M30" s="828">
        <f>Hilfstabelle!K184</f>
        <v>0</v>
      </c>
      <c r="N30" s="828">
        <f>Hilfstabelle!L184</f>
        <v>0</v>
      </c>
      <c r="O30" s="828">
        <f>Hilfstabelle!M184</f>
        <v>0</v>
      </c>
      <c r="P30" s="675">
        <f t="shared" si="5"/>
        <v>0</v>
      </c>
      <c r="Q30" s="656" t="str">
        <f t="shared" si="4"/>
        <v/>
      </c>
      <c r="R30" s="630"/>
      <c r="S30" s="630"/>
      <c r="T30" s="630"/>
      <c r="U30" s="630"/>
      <c r="V30" s="630"/>
      <c r="W30" s="630"/>
      <c r="X30" s="630"/>
      <c r="Y30" s="630"/>
      <c r="Z30" s="630"/>
      <c r="AA30" s="630"/>
      <c r="AB30" s="630"/>
      <c r="AC30" s="630"/>
    </row>
    <row r="31" spans="1:29" s="1" customFormat="1" ht="15.75" customHeight="1">
      <c r="A31" s="657" t="str">
        <f>'übrige Kosten'!A14</f>
        <v>Werbung  / Reisekosten</v>
      </c>
      <c r="B31" s="730" t="s">
        <v>81</v>
      </c>
      <c r="C31" s="659">
        <f>IF('übrige Kosten'!G14="",0,'übrige Kosten'!G14)</f>
        <v>0</v>
      </c>
      <c r="D31" s="828">
        <f>Hilfstabelle!B185</f>
        <v>0</v>
      </c>
      <c r="E31" s="828">
        <f>Hilfstabelle!C185</f>
        <v>0</v>
      </c>
      <c r="F31" s="828">
        <f>Hilfstabelle!D185</f>
        <v>0</v>
      </c>
      <c r="G31" s="828">
        <f>Hilfstabelle!E185</f>
        <v>0</v>
      </c>
      <c r="H31" s="828">
        <f>Hilfstabelle!F185</f>
        <v>0</v>
      </c>
      <c r="I31" s="828">
        <f>Hilfstabelle!G185</f>
        <v>0</v>
      </c>
      <c r="J31" s="828">
        <f>Hilfstabelle!H185</f>
        <v>0</v>
      </c>
      <c r="K31" s="828">
        <f>Hilfstabelle!I185</f>
        <v>0</v>
      </c>
      <c r="L31" s="828">
        <f>Hilfstabelle!J185</f>
        <v>0</v>
      </c>
      <c r="M31" s="828">
        <f>Hilfstabelle!K185</f>
        <v>0</v>
      </c>
      <c r="N31" s="828">
        <f>Hilfstabelle!L185</f>
        <v>0</v>
      </c>
      <c r="O31" s="828">
        <f>Hilfstabelle!M185</f>
        <v>0</v>
      </c>
      <c r="P31" s="675">
        <f t="shared" si="5"/>
        <v>0</v>
      </c>
      <c r="Q31" s="656" t="str">
        <f t="shared" si="4"/>
        <v/>
      </c>
      <c r="R31" s="630"/>
      <c r="S31" s="630"/>
      <c r="T31" s="630"/>
      <c r="U31" s="630"/>
      <c r="V31" s="630"/>
      <c r="W31" s="630"/>
      <c r="X31" s="630"/>
      <c r="Y31" s="630"/>
      <c r="Z31" s="630"/>
      <c r="AA31" s="630"/>
      <c r="AB31" s="630"/>
      <c r="AC31" s="630"/>
    </row>
    <row r="32" spans="1:29" s="1" customFormat="1" ht="15.75" customHeight="1">
      <c r="A32" s="657" t="str">
        <f>'übrige Kosten'!A15</f>
        <v>Kosten der Warenabgabe (incl.  Gewährleistungen)</v>
      </c>
      <c r="B32" s="730" t="s">
        <v>81</v>
      </c>
      <c r="C32" s="659">
        <f>IF('übrige Kosten'!G15="",0,'übrige Kosten'!G15)</f>
        <v>0</v>
      </c>
      <c r="D32" s="828">
        <f>Hilfstabelle!B186</f>
        <v>0</v>
      </c>
      <c r="E32" s="828">
        <f>Hilfstabelle!C186</f>
        <v>0</v>
      </c>
      <c r="F32" s="828">
        <f>Hilfstabelle!D186</f>
        <v>0</v>
      </c>
      <c r="G32" s="828">
        <f>Hilfstabelle!E186</f>
        <v>0</v>
      </c>
      <c r="H32" s="828">
        <f>Hilfstabelle!F186</f>
        <v>0</v>
      </c>
      <c r="I32" s="828">
        <f>Hilfstabelle!G186</f>
        <v>0</v>
      </c>
      <c r="J32" s="828">
        <f>Hilfstabelle!H186</f>
        <v>0</v>
      </c>
      <c r="K32" s="828">
        <f>Hilfstabelle!I186</f>
        <v>0</v>
      </c>
      <c r="L32" s="828">
        <f>Hilfstabelle!J186</f>
        <v>0</v>
      </c>
      <c r="M32" s="828">
        <f>Hilfstabelle!K186</f>
        <v>0</v>
      </c>
      <c r="N32" s="828">
        <f>Hilfstabelle!L186</f>
        <v>0</v>
      </c>
      <c r="O32" s="828">
        <f>Hilfstabelle!M186</f>
        <v>0</v>
      </c>
      <c r="P32" s="675">
        <f t="shared" si="5"/>
        <v>0</v>
      </c>
      <c r="Q32" s="656" t="str">
        <f t="shared" si="4"/>
        <v/>
      </c>
      <c r="R32" s="630"/>
      <c r="S32" s="630"/>
      <c r="T32" s="630"/>
      <c r="U32" s="630"/>
      <c r="V32" s="630"/>
      <c r="W32" s="630"/>
      <c r="X32" s="630"/>
      <c r="Y32" s="630"/>
      <c r="Z32" s="630"/>
      <c r="AA32" s="630"/>
      <c r="AB32" s="630"/>
      <c r="AC32" s="630"/>
    </row>
    <row r="33" spans="1:29" s="1" customFormat="1" ht="15.75" customHeight="1">
      <c r="A33" s="657" t="str">
        <f>'übrige Kosten'!A17</f>
        <v>Reparaturen, Instandhaltung</v>
      </c>
      <c r="B33" s="730" t="s">
        <v>81</v>
      </c>
      <c r="C33" s="659">
        <f>IF('übrige Kosten'!G17="",0,'übrige Kosten'!G17)</f>
        <v>0</v>
      </c>
      <c r="D33" s="828">
        <f>Hilfstabelle!B187</f>
        <v>0</v>
      </c>
      <c r="E33" s="828">
        <f>Hilfstabelle!C187</f>
        <v>0</v>
      </c>
      <c r="F33" s="828">
        <f>Hilfstabelle!D187</f>
        <v>0</v>
      </c>
      <c r="G33" s="828">
        <f>Hilfstabelle!E187</f>
        <v>0</v>
      </c>
      <c r="H33" s="828">
        <f>Hilfstabelle!F187</f>
        <v>0</v>
      </c>
      <c r="I33" s="828">
        <f>Hilfstabelle!G187</f>
        <v>0</v>
      </c>
      <c r="J33" s="828">
        <f>Hilfstabelle!H187</f>
        <v>0</v>
      </c>
      <c r="K33" s="828">
        <f>Hilfstabelle!I187</f>
        <v>0</v>
      </c>
      <c r="L33" s="828">
        <f>Hilfstabelle!J187</f>
        <v>0</v>
      </c>
      <c r="M33" s="828">
        <f>Hilfstabelle!K187</f>
        <v>0</v>
      </c>
      <c r="N33" s="828">
        <f>Hilfstabelle!L187</f>
        <v>0</v>
      </c>
      <c r="O33" s="828">
        <f>Hilfstabelle!M187</f>
        <v>0</v>
      </c>
      <c r="P33" s="675">
        <f t="shared" si="5"/>
        <v>0</v>
      </c>
      <c r="Q33" s="656" t="str">
        <f t="shared" si="4"/>
        <v/>
      </c>
      <c r="R33" s="630"/>
      <c r="S33" s="630"/>
      <c r="T33" s="630"/>
      <c r="U33" s="630"/>
      <c r="V33" s="630"/>
      <c r="W33" s="630"/>
      <c r="X33" s="630"/>
      <c r="Y33" s="630"/>
      <c r="Z33" s="630"/>
      <c r="AA33" s="630"/>
      <c r="AB33" s="630"/>
      <c r="AC33" s="630"/>
    </row>
    <row r="34" spans="1:29" s="1" customFormat="1" ht="15.75" customHeight="1" outlineLevel="1">
      <c r="A34" s="657" t="str">
        <f>'übrige Kosten'!A18</f>
        <v>Büro (Telefon, Telefax, Internet)</v>
      </c>
      <c r="B34" s="730" t="s">
        <v>81</v>
      </c>
      <c r="C34" s="659">
        <f>IF('übrige Kosten'!G18="",0,'übrige Kosten'!G18)</f>
        <v>0</v>
      </c>
      <c r="D34" s="828">
        <f>Hilfstabelle!B188</f>
        <v>0</v>
      </c>
      <c r="E34" s="828">
        <f>Hilfstabelle!C188</f>
        <v>0</v>
      </c>
      <c r="F34" s="828">
        <f>Hilfstabelle!D188</f>
        <v>0</v>
      </c>
      <c r="G34" s="828">
        <f>Hilfstabelle!E188</f>
        <v>0</v>
      </c>
      <c r="H34" s="828">
        <f>Hilfstabelle!F188</f>
        <v>0</v>
      </c>
      <c r="I34" s="828">
        <f>Hilfstabelle!G188</f>
        <v>0</v>
      </c>
      <c r="J34" s="828">
        <f>Hilfstabelle!H188</f>
        <v>0</v>
      </c>
      <c r="K34" s="828">
        <f>Hilfstabelle!I188</f>
        <v>0</v>
      </c>
      <c r="L34" s="828">
        <f>Hilfstabelle!J188</f>
        <v>0</v>
      </c>
      <c r="M34" s="828">
        <f>Hilfstabelle!K188</f>
        <v>0</v>
      </c>
      <c r="N34" s="828">
        <f>Hilfstabelle!L188</f>
        <v>0</v>
      </c>
      <c r="O34" s="828">
        <f>Hilfstabelle!M188</f>
        <v>0</v>
      </c>
      <c r="P34" s="675">
        <f t="shared" si="5"/>
        <v>0</v>
      </c>
      <c r="Q34" s="656" t="str">
        <f t="shared" si="4"/>
        <v/>
      </c>
      <c r="R34" s="630"/>
      <c r="S34" s="630"/>
      <c r="T34" s="630"/>
      <c r="U34" s="630"/>
      <c r="V34" s="630"/>
      <c r="W34" s="630"/>
      <c r="X34" s="630"/>
      <c r="Y34" s="630"/>
      <c r="Z34" s="630"/>
      <c r="AA34" s="630"/>
      <c r="AB34" s="630"/>
      <c r="AC34" s="630"/>
    </row>
    <row r="35" spans="1:29" s="1" customFormat="1" ht="15.75" customHeight="1" outlineLevel="1">
      <c r="A35" s="657" t="str">
        <f>'übrige Kosten'!A19</f>
        <v>Büro (Porto, Zeitschriften, sonst. Bürobedarf)</v>
      </c>
      <c r="B35" s="730" t="s">
        <v>81</v>
      </c>
      <c r="C35" s="659">
        <f>IF('übrige Kosten'!G19="",0,'übrige Kosten'!G19)</f>
        <v>0</v>
      </c>
      <c r="D35" s="828">
        <f>Hilfstabelle!B189</f>
        <v>0</v>
      </c>
      <c r="E35" s="828">
        <f>Hilfstabelle!C189</f>
        <v>0</v>
      </c>
      <c r="F35" s="828">
        <f>Hilfstabelle!D189</f>
        <v>0</v>
      </c>
      <c r="G35" s="828">
        <f>Hilfstabelle!E189</f>
        <v>0</v>
      </c>
      <c r="H35" s="828">
        <f>Hilfstabelle!F189</f>
        <v>0</v>
      </c>
      <c r="I35" s="828">
        <f>Hilfstabelle!G189</f>
        <v>0</v>
      </c>
      <c r="J35" s="828">
        <f>Hilfstabelle!H189</f>
        <v>0</v>
      </c>
      <c r="K35" s="828">
        <f>Hilfstabelle!I189</f>
        <v>0</v>
      </c>
      <c r="L35" s="828">
        <f>Hilfstabelle!J189</f>
        <v>0</v>
      </c>
      <c r="M35" s="828">
        <f>Hilfstabelle!K189</f>
        <v>0</v>
      </c>
      <c r="N35" s="828">
        <f>Hilfstabelle!L189</f>
        <v>0</v>
      </c>
      <c r="O35" s="828">
        <f>Hilfstabelle!M189</f>
        <v>0</v>
      </c>
      <c r="P35" s="675">
        <f t="shared" si="5"/>
        <v>0</v>
      </c>
      <c r="Q35" s="656" t="str">
        <f t="shared" si="4"/>
        <v/>
      </c>
      <c r="R35" s="630"/>
      <c r="S35" s="630"/>
      <c r="T35" s="630"/>
      <c r="U35" s="630"/>
      <c r="V35" s="630"/>
      <c r="W35" s="630"/>
      <c r="X35" s="630"/>
      <c r="Y35" s="630"/>
      <c r="Z35" s="630"/>
      <c r="AA35" s="630"/>
      <c r="AB35" s="630"/>
      <c r="AC35" s="630"/>
    </row>
    <row r="36" spans="1:29" s="1" customFormat="1" ht="15.75" customHeight="1" outlineLevel="1">
      <c r="A36" s="657" t="str">
        <f>'übrige Kosten'!A20</f>
        <v>Buchführung und Abschlusskosten / Beratungskosten</v>
      </c>
      <c r="B36" s="730" t="s">
        <v>81</v>
      </c>
      <c r="C36" s="659">
        <f>IF('übrige Kosten'!G20="",0,'übrige Kosten'!G20)</f>
        <v>0</v>
      </c>
      <c r="D36" s="828">
        <f>Hilfstabelle!B190</f>
        <v>0</v>
      </c>
      <c r="E36" s="828">
        <f>Hilfstabelle!C190</f>
        <v>0</v>
      </c>
      <c r="F36" s="828">
        <f>Hilfstabelle!D190</f>
        <v>0</v>
      </c>
      <c r="G36" s="828">
        <f>Hilfstabelle!E190</f>
        <v>0</v>
      </c>
      <c r="H36" s="828">
        <f>Hilfstabelle!F190</f>
        <v>0</v>
      </c>
      <c r="I36" s="828">
        <f>Hilfstabelle!G190</f>
        <v>0</v>
      </c>
      <c r="J36" s="828">
        <f>Hilfstabelle!H190</f>
        <v>0</v>
      </c>
      <c r="K36" s="828">
        <f>Hilfstabelle!I190</f>
        <v>0</v>
      </c>
      <c r="L36" s="828">
        <f>Hilfstabelle!J190</f>
        <v>0</v>
      </c>
      <c r="M36" s="828">
        <f>Hilfstabelle!K190</f>
        <v>0</v>
      </c>
      <c r="N36" s="828">
        <f>Hilfstabelle!L190</f>
        <v>0</v>
      </c>
      <c r="O36" s="828">
        <f>Hilfstabelle!M190</f>
        <v>0</v>
      </c>
      <c r="P36" s="675">
        <f t="shared" si="5"/>
        <v>0</v>
      </c>
      <c r="Q36" s="656" t="str">
        <f t="shared" si="4"/>
        <v/>
      </c>
      <c r="R36" s="630"/>
      <c r="S36" s="630"/>
      <c r="T36" s="630"/>
      <c r="U36" s="630"/>
      <c r="V36" s="630"/>
      <c r="W36" s="630"/>
      <c r="X36" s="630"/>
      <c r="Y36" s="630"/>
      <c r="Z36" s="630"/>
      <c r="AA36" s="630"/>
      <c r="AB36" s="630"/>
      <c r="AC36" s="630"/>
    </row>
    <row r="37" spans="1:29" s="1" customFormat="1" ht="15.75" customHeight="1" outlineLevel="1">
      <c r="A37" s="657" t="str">
        <f>'übrige Kosten'!A21</f>
        <v>Miete / Leasing (ohne Kfz) für bewegliche Wirtschaftsgüter</v>
      </c>
      <c r="B37" s="730" t="s">
        <v>81</v>
      </c>
      <c r="C37" s="659">
        <f>IF('übrige Kosten'!G21="",0,'übrige Kosten'!G21)</f>
        <v>0</v>
      </c>
      <c r="D37" s="828">
        <f>Hilfstabelle!B191</f>
        <v>0</v>
      </c>
      <c r="E37" s="828">
        <f>Hilfstabelle!C191</f>
        <v>0</v>
      </c>
      <c r="F37" s="828">
        <f>Hilfstabelle!D191</f>
        <v>0</v>
      </c>
      <c r="G37" s="828">
        <f>Hilfstabelle!E191</f>
        <v>0</v>
      </c>
      <c r="H37" s="828">
        <f>Hilfstabelle!F191</f>
        <v>0</v>
      </c>
      <c r="I37" s="828">
        <f>Hilfstabelle!G191</f>
        <v>0</v>
      </c>
      <c r="J37" s="828">
        <f>Hilfstabelle!H191</f>
        <v>0</v>
      </c>
      <c r="K37" s="828">
        <f>Hilfstabelle!I191</f>
        <v>0</v>
      </c>
      <c r="L37" s="828">
        <f>Hilfstabelle!J191</f>
        <v>0</v>
      </c>
      <c r="M37" s="828">
        <f>Hilfstabelle!K191</f>
        <v>0</v>
      </c>
      <c r="N37" s="828">
        <f>Hilfstabelle!L191</f>
        <v>0</v>
      </c>
      <c r="O37" s="828">
        <f>Hilfstabelle!M191</f>
        <v>0</v>
      </c>
      <c r="P37" s="675">
        <f t="shared" si="5"/>
        <v>0</v>
      </c>
      <c r="Q37" s="656" t="str">
        <f t="shared" si="4"/>
        <v/>
      </c>
      <c r="R37" s="630"/>
      <c r="S37" s="630"/>
      <c r="T37" s="630"/>
      <c r="U37" s="630"/>
      <c r="V37" s="630"/>
      <c r="W37" s="630"/>
      <c r="X37" s="630"/>
      <c r="Y37" s="630"/>
      <c r="Z37" s="630"/>
      <c r="AA37" s="630"/>
      <c r="AB37" s="630"/>
      <c r="AC37" s="630"/>
    </row>
    <row r="38" spans="1:29" s="1" customFormat="1" ht="15.75" customHeight="1" outlineLevel="1">
      <c r="A38" s="657" t="str">
        <f>'übrige Kosten'!A22</f>
        <v>Abraum - und Abfallbeseitigung</v>
      </c>
      <c r="B38" s="730" t="s">
        <v>81</v>
      </c>
      <c r="C38" s="659">
        <f>IF('übrige Kosten'!G22="",0,'übrige Kosten'!G22)</f>
        <v>0</v>
      </c>
      <c r="D38" s="828">
        <f>Hilfstabelle!B192</f>
        <v>0</v>
      </c>
      <c r="E38" s="828">
        <f>Hilfstabelle!C192</f>
        <v>0</v>
      </c>
      <c r="F38" s="828">
        <f>Hilfstabelle!D192</f>
        <v>0</v>
      </c>
      <c r="G38" s="828">
        <f>Hilfstabelle!E192</f>
        <v>0</v>
      </c>
      <c r="H38" s="828">
        <f>Hilfstabelle!F192</f>
        <v>0</v>
      </c>
      <c r="I38" s="828">
        <f>Hilfstabelle!G192</f>
        <v>0</v>
      </c>
      <c r="J38" s="828">
        <f>Hilfstabelle!H192</f>
        <v>0</v>
      </c>
      <c r="K38" s="828">
        <f>Hilfstabelle!I192</f>
        <v>0</v>
      </c>
      <c r="L38" s="828">
        <f>Hilfstabelle!J192</f>
        <v>0</v>
      </c>
      <c r="M38" s="828">
        <f>Hilfstabelle!K192</f>
        <v>0</v>
      </c>
      <c r="N38" s="828">
        <f>Hilfstabelle!L192</f>
        <v>0</v>
      </c>
      <c r="O38" s="828">
        <f>Hilfstabelle!M192</f>
        <v>0</v>
      </c>
      <c r="P38" s="675">
        <f t="shared" si="5"/>
        <v>0</v>
      </c>
      <c r="Q38" s="656" t="str">
        <f t="shared" si="4"/>
        <v/>
      </c>
      <c r="R38" s="630"/>
      <c r="S38" s="630"/>
      <c r="T38" s="630"/>
      <c r="U38" s="630"/>
      <c r="V38" s="630"/>
      <c r="W38" s="630"/>
      <c r="X38" s="630"/>
      <c r="Y38" s="630"/>
      <c r="Z38" s="630"/>
      <c r="AA38" s="630"/>
      <c r="AB38" s="630"/>
      <c r="AC38" s="630"/>
    </row>
    <row r="39" spans="1:29" s="1" customFormat="1" ht="15.75" customHeight="1" outlineLevel="1">
      <c r="A39" s="657" t="str">
        <f>'übrige Kosten'!A23</f>
        <v>Werkzeug und Kleingeräte GWG</v>
      </c>
      <c r="B39" s="730" t="s">
        <v>81</v>
      </c>
      <c r="C39" s="659">
        <f>IF('übrige Kosten'!G23="",0,'übrige Kosten'!G23)</f>
        <v>0</v>
      </c>
      <c r="D39" s="828">
        <f>Hilfstabelle!B193</f>
        <v>0</v>
      </c>
      <c r="E39" s="828">
        <f>Hilfstabelle!C193</f>
        <v>0</v>
      </c>
      <c r="F39" s="828">
        <f>Hilfstabelle!D193</f>
        <v>0</v>
      </c>
      <c r="G39" s="828">
        <f>Hilfstabelle!E193</f>
        <v>0</v>
      </c>
      <c r="H39" s="828">
        <f>Hilfstabelle!F193</f>
        <v>0</v>
      </c>
      <c r="I39" s="828">
        <f>Hilfstabelle!G193</f>
        <v>0</v>
      </c>
      <c r="J39" s="828">
        <f>Hilfstabelle!H193</f>
        <v>0</v>
      </c>
      <c r="K39" s="828">
        <f>Hilfstabelle!I193</f>
        <v>0</v>
      </c>
      <c r="L39" s="828">
        <f>Hilfstabelle!J193</f>
        <v>0</v>
      </c>
      <c r="M39" s="828">
        <f>Hilfstabelle!K193</f>
        <v>0</v>
      </c>
      <c r="N39" s="828">
        <f>Hilfstabelle!L193</f>
        <v>0</v>
      </c>
      <c r="O39" s="828">
        <f>Hilfstabelle!M193</f>
        <v>0</v>
      </c>
      <c r="P39" s="675">
        <f t="shared" si="5"/>
        <v>0</v>
      </c>
      <c r="Q39" s="656" t="str">
        <f t="shared" si="4"/>
        <v/>
      </c>
      <c r="R39" s="630"/>
      <c r="S39" s="630"/>
      <c r="T39" s="630"/>
      <c r="U39" s="630"/>
      <c r="V39" s="630"/>
      <c r="W39" s="630"/>
      <c r="X39" s="630"/>
      <c r="Y39" s="630"/>
      <c r="Z39" s="630"/>
      <c r="AA39" s="630"/>
      <c r="AB39" s="630"/>
      <c r="AC39" s="630"/>
    </row>
    <row r="40" spans="1:29" s="1" customFormat="1" ht="15.75" customHeight="1" outlineLevel="1">
      <c r="A40" s="657" t="str">
        <f>'übrige Kosten'!A24</f>
        <v>Betriebsbedarf</v>
      </c>
      <c r="B40" s="730" t="s">
        <v>81</v>
      </c>
      <c r="C40" s="659">
        <f>IF('übrige Kosten'!G24="",0,'übrige Kosten'!G24)</f>
        <v>0</v>
      </c>
      <c r="D40" s="828">
        <f>Hilfstabelle!B194</f>
        <v>0</v>
      </c>
      <c r="E40" s="828">
        <f>Hilfstabelle!C194</f>
        <v>0</v>
      </c>
      <c r="F40" s="828">
        <f>Hilfstabelle!D194</f>
        <v>0</v>
      </c>
      <c r="G40" s="828">
        <f>Hilfstabelle!E194</f>
        <v>0</v>
      </c>
      <c r="H40" s="828">
        <f>Hilfstabelle!F194</f>
        <v>0</v>
      </c>
      <c r="I40" s="828">
        <f>Hilfstabelle!G194</f>
        <v>0</v>
      </c>
      <c r="J40" s="828">
        <f>Hilfstabelle!H194</f>
        <v>0</v>
      </c>
      <c r="K40" s="828">
        <f>Hilfstabelle!I194</f>
        <v>0</v>
      </c>
      <c r="L40" s="828">
        <f>Hilfstabelle!J194</f>
        <v>0</v>
      </c>
      <c r="M40" s="828">
        <f>Hilfstabelle!K194</f>
        <v>0</v>
      </c>
      <c r="N40" s="828">
        <f>Hilfstabelle!L194</f>
        <v>0</v>
      </c>
      <c r="O40" s="828">
        <f>Hilfstabelle!M194</f>
        <v>0</v>
      </c>
      <c r="P40" s="675">
        <f t="shared" si="5"/>
        <v>0</v>
      </c>
      <c r="Q40" s="656" t="str">
        <f t="shared" si="4"/>
        <v/>
      </c>
      <c r="R40" s="630"/>
      <c r="S40" s="630"/>
      <c r="T40" s="630"/>
      <c r="U40" s="630"/>
      <c r="V40" s="630"/>
      <c r="W40" s="630"/>
      <c r="X40" s="630"/>
      <c r="Y40" s="630"/>
      <c r="Z40" s="630"/>
      <c r="AA40" s="630"/>
      <c r="AB40" s="630"/>
      <c r="AC40" s="630"/>
    </row>
    <row r="41" spans="1:29" s="1" customFormat="1" ht="15.75" customHeight="1">
      <c r="A41" s="657" t="str">
        <f>'übrige Kosten'!A25</f>
        <v>langfristige Zinsen</v>
      </c>
      <c r="B41" s="730" t="s">
        <v>80</v>
      </c>
      <c r="C41" s="659">
        <f>IF('übrige Kosten'!G25="",0,'übrige Kosten'!G25)</f>
        <v>0</v>
      </c>
      <c r="D41" s="828">
        <f>Hilfstabelle!B141+'Zins und Tilgung'!$AG22/12+'Zins und Tilgung'!$AM18/12+'Zins und Tilgung'!$AR18/12</f>
        <v>0</v>
      </c>
      <c r="E41" s="828">
        <f>Hilfstabelle!C141+'Zins und Tilgung'!$AG22/12+'Zins und Tilgung'!$AM18/12+'Zins und Tilgung'!$AR18/12</f>
        <v>0</v>
      </c>
      <c r="F41" s="828">
        <f>Hilfstabelle!D141+'Zins und Tilgung'!$AG22/12+'Zins und Tilgung'!$AM18/12+'Zins und Tilgung'!$AR18/12</f>
        <v>0</v>
      </c>
      <c r="G41" s="828">
        <f>Hilfstabelle!E141+'Zins und Tilgung'!$AG22/12+'Zins und Tilgung'!$AM18/12+'Zins und Tilgung'!$AR18/12</f>
        <v>0</v>
      </c>
      <c r="H41" s="828">
        <f>Hilfstabelle!F141+'Zins und Tilgung'!$AG22/12+'Zins und Tilgung'!$AM18/12+'Zins und Tilgung'!$AR18/12</f>
        <v>0</v>
      </c>
      <c r="I41" s="828">
        <f>Hilfstabelle!G141+'Zins und Tilgung'!$AG22/12+'Zins und Tilgung'!$AM18/12+'Zins und Tilgung'!$AR18/12</f>
        <v>0</v>
      </c>
      <c r="J41" s="828">
        <f>Hilfstabelle!H141+'Zins und Tilgung'!$AG22/12+'Zins und Tilgung'!$AM18/12+'Zins und Tilgung'!$AR18/12</f>
        <v>0</v>
      </c>
      <c r="K41" s="828">
        <f>Hilfstabelle!I141+'Zins und Tilgung'!$AG22/12+'Zins und Tilgung'!$AM18/12+'Zins und Tilgung'!$AR18/12</f>
        <v>0</v>
      </c>
      <c r="L41" s="828">
        <f>Hilfstabelle!J141+'Zins und Tilgung'!$AG22/12+'Zins und Tilgung'!$AM18/12+'Zins und Tilgung'!$AR18/12</f>
        <v>0</v>
      </c>
      <c r="M41" s="828">
        <f>Hilfstabelle!K141+'Zins und Tilgung'!$AG22/12+'Zins und Tilgung'!$AM18/12+'Zins und Tilgung'!$AR18/12</f>
        <v>0</v>
      </c>
      <c r="N41" s="828">
        <f>Hilfstabelle!L141+'Zins und Tilgung'!$AG22/12+'Zins und Tilgung'!$AM18/12+'Zins und Tilgung'!$AR18/12</f>
        <v>0</v>
      </c>
      <c r="O41" s="828">
        <f>Hilfstabelle!M141+'Zins und Tilgung'!$AG22/12+'Zins und Tilgung'!$AM18/12+'Zins und Tilgung'!$AR18/12</f>
        <v>0</v>
      </c>
      <c r="P41" s="675">
        <f t="shared" si="5"/>
        <v>0</v>
      </c>
      <c r="Q41" s="656" t="str">
        <f t="shared" si="4"/>
        <v/>
      </c>
      <c r="R41" s="630"/>
      <c r="S41" s="630"/>
      <c r="T41" s="630"/>
      <c r="U41" s="630"/>
      <c r="V41" s="630"/>
      <c r="W41" s="630"/>
      <c r="X41" s="630"/>
      <c r="Y41" s="630"/>
      <c r="Z41" s="630"/>
      <c r="AA41" s="630"/>
      <c r="AB41" s="630"/>
      <c r="AC41" s="630"/>
    </row>
    <row r="42" spans="1:29" s="1" customFormat="1" ht="15.75" customHeight="1">
      <c r="A42" s="657" t="str">
        <f>'übrige Kosten'!A26</f>
        <v>kurzfristige Zinsen, Bankgebühren</v>
      </c>
      <c r="B42" s="730" t="s">
        <v>80</v>
      </c>
      <c r="C42" s="659">
        <f>IF('übrige Kosten'!G26="",0,'übrige Kosten'!G26)</f>
        <v>0</v>
      </c>
      <c r="D42" s="828">
        <f>$C42/12</f>
        <v>0</v>
      </c>
      <c r="E42" s="828">
        <f t="shared" ref="E42:O42" si="6">$C42/12</f>
        <v>0</v>
      </c>
      <c r="F42" s="828">
        <f t="shared" si="6"/>
        <v>0</v>
      </c>
      <c r="G42" s="828">
        <f t="shared" si="6"/>
        <v>0</v>
      </c>
      <c r="H42" s="828">
        <f t="shared" si="6"/>
        <v>0</v>
      </c>
      <c r="I42" s="828">
        <f t="shared" si="6"/>
        <v>0</v>
      </c>
      <c r="J42" s="828">
        <f t="shared" si="6"/>
        <v>0</v>
      </c>
      <c r="K42" s="828">
        <f t="shared" si="6"/>
        <v>0</v>
      </c>
      <c r="L42" s="828">
        <f t="shared" si="6"/>
        <v>0</v>
      </c>
      <c r="M42" s="828">
        <f t="shared" si="6"/>
        <v>0</v>
      </c>
      <c r="N42" s="828">
        <f t="shared" si="6"/>
        <v>0</v>
      </c>
      <c r="O42" s="828">
        <f t="shared" si="6"/>
        <v>0</v>
      </c>
      <c r="P42" s="675">
        <f t="shared" si="5"/>
        <v>0</v>
      </c>
      <c r="Q42" s="656" t="str">
        <f t="shared" si="4"/>
        <v/>
      </c>
      <c r="R42" s="630"/>
      <c r="S42" s="630"/>
      <c r="T42" s="630"/>
      <c r="U42" s="630"/>
      <c r="V42" s="630"/>
      <c r="W42" s="630"/>
      <c r="X42" s="630"/>
      <c r="Y42" s="630"/>
      <c r="Z42" s="630"/>
      <c r="AA42" s="630"/>
      <c r="AB42" s="630"/>
      <c r="AC42" s="630"/>
    </row>
    <row r="43" spans="1:29" s="1" customFormat="1" ht="15.75" customHeight="1">
      <c r="A43" s="657" t="str">
        <f>'übrige Kosten'!A27</f>
        <v>Sonstiges</v>
      </c>
      <c r="B43" s="730" t="s">
        <v>81</v>
      </c>
      <c r="C43" s="659">
        <f>IF(Hilfstabelle!P193+Hilfstabelle!P194+Hilfstabelle!P195&gt;0,Hilfstabelle!P193+Hilfstabelle!P194+Hilfstabelle!P195,0)</f>
        <v>0</v>
      </c>
      <c r="D43" s="828">
        <f>Hilfstabelle!B195</f>
        <v>0</v>
      </c>
      <c r="E43" s="828">
        <f>Hilfstabelle!C195</f>
        <v>0</v>
      </c>
      <c r="F43" s="828">
        <f>Hilfstabelle!D195</f>
        <v>0</v>
      </c>
      <c r="G43" s="828">
        <f>Hilfstabelle!E195</f>
        <v>0</v>
      </c>
      <c r="H43" s="828">
        <f>Hilfstabelle!F195</f>
        <v>0</v>
      </c>
      <c r="I43" s="828">
        <f>Hilfstabelle!G195</f>
        <v>0</v>
      </c>
      <c r="J43" s="828">
        <f>Hilfstabelle!H195</f>
        <v>0</v>
      </c>
      <c r="K43" s="828">
        <f>Hilfstabelle!I195</f>
        <v>0</v>
      </c>
      <c r="L43" s="828">
        <f>Hilfstabelle!J195</f>
        <v>0</v>
      </c>
      <c r="M43" s="828">
        <f>Hilfstabelle!K195</f>
        <v>0</v>
      </c>
      <c r="N43" s="828">
        <f>Hilfstabelle!L195</f>
        <v>0</v>
      </c>
      <c r="O43" s="828">
        <f>Hilfstabelle!M195</f>
        <v>0</v>
      </c>
      <c r="P43" s="675">
        <f t="shared" si="5"/>
        <v>0</v>
      </c>
      <c r="Q43" s="656" t="str">
        <f t="shared" si="4"/>
        <v/>
      </c>
      <c r="R43" s="630"/>
      <c r="S43" s="630"/>
      <c r="T43" s="630"/>
      <c r="U43" s="630"/>
      <c r="V43" s="630"/>
      <c r="W43" s="630"/>
      <c r="X43" s="630"/>
      <c r="Y43" s="630"/>
      <c r="Z43" s="630"/>
      <c r="AA43" s="630"/>
      <c r="AB43" s="630"/>
      <c r="AC43" s="630"/>
    </row>
    <row r="44" spans="1:29" s="1" customFormat="1" ht="15.75" hidden="1" customHeight="1">
      <c r="A44" s="657"/>
      <c r="B44" s="730"/>
      <c r="C44" s="659"/>
      <c r="D44" s="828"/>
      <c r="E44" s="828"/>
      <c r="F44" s="828"/>
      <c r="G44" s="828"/>
      <c r="H44" s="828"/>
      <c r="I44" s="828"/>
      <c r="J44" s="828"/>
      <c r="K44" s="828"/>
      <c r="L44" s="829"/>
      <c r="M44" s="828"/>
      <c r="N44" s="828"/>
      <c r="O44" s="828"/>
      <c r="P44" s="675">
        <f t="shared" si="5"/>
        <v>0</v>
      </c>
      <c r="Q44" s="656" t="str">
        <f t="shared" si="4"/>
        <v/>
      </c>
      <c r="R44" s="630"/>
      <c r="S44" s="630"/>
      <c r="T44" s="630"/>
      <c r="U44" s="630"/>
      <c r="V44" s="630"/>
      <c r="W44" s="630"/>
      <c r="X44" s="630"/>
      <c r="Y44" s="630"/>
      <c r="Z44" s="630"/>
      <c r="AA44" s="630"/>
      <c r="AB44" s="630"/>
      <c r="AC44" s="630"/>
    </row>
    <row r="45" spans="1:29" s="1" customFormat="1" ht="15.75" hidden="1" customHeight="1">
      <c r="A45" s="657"/>
      <c r="B45" s="730"/>
      <c r="C45" s="659"/>
      <c r="D45" s="828"/>
      <c r="E45" s="828"/>
      <c r="F45" s="828"/>
      <c r="G45" s="828"/>
      <c r="H45" s="828"/>
      <c r="I45" s="828"/>
      <c r="J45" s="828"/>
      <c r="K45" s="828"/>
      <c r="L45" s="829"/>
      <c r="M45" s="828"/>
      <c r="N45" s="828"/>
      <c r="O45" s="828"/>
      <c r="P45" s="675">
        <f t="shared" si="5"/>
        <v>0</v>
      </c>
      <c r="Q45" s="656" t="str">
        <f t="shared" si="4"/>
        <v/>
      </c>
      <c r="R45" s="630"/>
      <c r="S45" s="630"/>
      <c r="T45" s="630"/>
      <c r="U45" s="630"/>
      <c r="V45" s="630"/>
      <c r="W45" s="630"/>
      <c r="X45" s="630"/>
      <c r="Y45" s="630"/>
      <c r="Z45" s="630"/>
      <c r="AA45" s="630"/>
      <c r="AB45" s="630"/>
      <c r="AC45" s="630"/>
    </row>
    <row r="46" spans="1:29" s="1" customFormat="1" ht="15.75" hidden="1" customHeight="1">
      <c r="A46" s="657"/>
      <c r="B46" s="730"/>
      <c r="C46" s="659"/>
      <c r="D46" s="828"/>
      <c r="E46" s="828"/>
      <c r="F46" s="828"/>
      <c r="G46" s="828"/>
      <c r="H46" s="828"/>
      <c r="I46" s="828"/>
      <c r="J46" s="828"/>
      <c r="K46" s="828"/>
      <c r="L46" s="829"/>
      <c r="M46" s="828"/>
      <c r="N46" s="828"/>
      <c r="O46" s="828"/>
      <c r="P46" s="675">
        <f t="shared" si="5"/>
        <v>0</v>
      </c>
      <c r="Q46" s="656" t="str">
        <f t="shared" si="4"/>
        <v/>
      </c>
      <c r="R46" s="630"/>
      <c r="S46" s="630"/>
      <c r="T46" s="630"/>
      <c r="U46" s="630"/>
      <c r="V46" s="630"/>
      <c r="W46" s="630"/>
      <c r="X46" s="630"/>
      <c r="Y46" s="630"/>
      <c r="Z46" s="630"/>
      <c r="AA46" s="630"/>
      <c r="AB46" s="630"/>
      <c r="AC46" s="630"/>
    </row>
    <row r="47" spans="1:29" s="1" customFormat="1" ht="15.75" customHeight="1">
      <c r="A47" s="657" t="s">
        <v>368</v>
      </c>
      <c r="B47" s="730" t="s">
        <v>80</v>
      </c>
      <c r="C47" s="659">
        <f>'übrige Kosten'!G36</f>
        <v>0</v>
      </c>
      <c r="D47" s="828">
        <f>IF(OR(MONTH(D13)=2,MONTH(D13)=5,MONTH(D13)=8,MONTH(D13)=11),'übrige Kosten'!$G34/4,0)+IF(OR(MONTH(D13)=3,MONTH(D13)=6,MONTH(D13)=9,MONTH(D13)=12),'übrige Kosten'!$G35/4,0)</f>
        <v>0</v>
      </c>
      <c r="E47" s="828">
        <f>IF(OR(MONTH(E13)=2,MONTH(E13)=5,MONTH(E13)=8,MONTH(E13)=11),'übrige Kosten'!$G34/4,0)+IF(OR(MONTH(E13)=3,MONTH(E13)=6,MONTH(E13)=9,MONTH(E13)=12),'übrige Kosten'!$G35/4,0)</f>
        <v>0</v>
      </c>
      <c r="F47" s="828">
        <f>IF(OR(MONTH(F13)=2,MONTH(F13)=5,MONTH(F13)=8,MONTH(F13)=11),'übrige Kosten'!$G34/4,0)+IF(OR(MONTH(F13)=3,MONTH(F13)=6,MONTH(F13)=9,MONTH(F13)=12),'übrige Kosten'!$G35/4,0)</f>
        <v>0</v>
      </c>
      <c r="G47" s="828">
        <f>IF(OR(MONTH(G13)=2,MONTH(G13)=5,MONTH(G13)=8,MONTH(G13)=11),'übrige Kosten'!$G34/4,0)+IF(OR(MONTH(G13)=3,MONTH(G13)=6,MONTH(G13)=9,MONTH(G13)=12),'übrige Kosten'!$G35/4,0)</f>
        <v>0</v>
      </c>
      <c r="H47" s="828">
        <f>IF(OR(MONTH(H13)=2,MONTH(H13)=5,MONTH(H13)=8,MONTH(H13)=11),'übrige Kosten'!$G34/4,0)+IF(OR(MONTH(H13)=3,MONTH(H13)=6,MONTH(H13)=9,MONTH(H13)=12),'übrige Kosten'!$G35/4,0)</f>
        <v>0</v>
      </c>
      <c r="I47" s="828">
        <f>IF(OR(MONTH(I13)=2,MONTH(I13)=5,MONTH(I13)=8,MONTH(I13)=11),'übrige Kosten'!$G34/4,0)+IF(OR(MONTH(I13)=3,MONTH(I13)=6,MONTH(I13)=9,MONTH(I13)=12),'übrige Kosten'!$G35/4,0)</f>
        <v>0</v>
      </c>
      <c r="J47" s="828">
        <f>IF(OR(MONTH(J13)=2,MONTH(J13)=5,MONTH(J13)=8,MONTH(J13)=11),'übrige Kosten'!$G34/4,0)+IF(OR(MONTH(J13)=3,MONTH(J13)=6,MONTH(J13)=9,MONTH(J13)=12),'übrige Kosten'!$G35/4,0)</f>
        <v>0</v>
      </c>
      <c r="K47" s="828">
        <f>IF(OR(MONTH(K13)=2,MONTH(K13)=5,MONTH(K13)=8,MONTH(K13)=11),'übrige Kosten'!$G34/4,0)+IF(OR(MONTH(K13)=3,MONTH(K13)=6,MONTH(K13)=9,MONTH(K13)=12),'übrige Kosten'!$G35/4,0)</f>
        <v>0</v>
      </c>
      <c r="L47" s="828">
        <f>IF(OR(MONTH(L13)=2,MONTH(L13)=5,MONTH(L13)=8,MONTH(L13)=11),'übrige Kosten'!$G34/4,0)+IF(OR(MONTH(L13)=3,MONTH(L13)=6,MONTH(L13)=9,MONTH(L13)=12),'übrige Kosten'!$G35/4,0)</f>
        <v>0</v>
      </c>
      <c r="M47" s="828">
        <f>IF(OR(MONTH(M13)=2,MONTH(M13)=5,MONTH(M13)=8,MONTH(M13)=11),'übrige Kosten'!$G34/4,0)+IF(OR(MONTH(M13)=3,MONTH(M13)=6,MONTH(M13)=9,MONTH(M13)=12),'übrige Kosten'!$G35/4,0)</f>
        <v>0</v>
      </c>
      <c r="N47" s="828">
        <f>IF(OR(MONTH(N13)=2,MONTH(N13)=5,MONTH(N13)=8,MONTH(N13)=11),'übrige Kosten'!$G34/4,0)+IF(OR(MONTH(N13)=3,MONTH(N13)=6,MONTH(N13)=9,MONTH(N13)=12),'übrige Kosten'!$G35/4,0)</f>
        <v>0</v>
      </c>
      <c r="O47" s="828">
        <f>IF(OR(MONTH(O13)=2,MONTH(O13)=5,MONTH(O13)=8,MONTH(O13)=11),'übrige Kosten'!$G34/4,0)+IF(OR(MONTH(O13)=3,MONTH(O13)=6,MONTH(O13)=9,MONTH(O13)=12),'übrige Kosten'!$G35/4,0)</f>
        <v>0</v>
      </c>
      <c r="P47" s="675">
        <f t="shared" si="5"/>
        <v>0</v>
      </c>
      <c r="Q47" s="656" t="str">
        <f t="shared" si="4"/>
        <v/>
      </c>
      <c r="R47" s="630"/>
      <c r="S47" s="630"/>
      <c r="T47" s="630"/>
      <c r="U47" s="630"/>
      <c r="V47" s="630"/>
      <c r="W47" s="630"/>
      <c r="X47" s="630"/>
      <c r="Y47" s="630"/>
      <c r="Z47" s="630"/>
      <c r="AA47" s="630"/>
      <c r="AB47" s="630"/>
      <c r="AC47" s="630"/>
    </row>
    <row r="48" spans="1:29" s="1" customFormat="1" ht="15.75" customHeight="1">
      <c r="A48" s="739" t="str">
        <f>'Liquiditätsplan-1.Jahr'!A48</f>
        <v>USt-freie Investitionen gemäß Kapitalbedarfsplan</v>
      </c>
      <c r="B48" s="775" t="str">
        <f>'Liquiditätsplan-2.Jahr'!B48</f>
        <v>nein</v>
      </c>
      <c r="C48" s="776">
        <f>IF('Liquiditätsplan-2.Jahr'!P48&lt;'Liquiditätsplan-2.Jahr'!C48,'Liquiditätsplan-2.Jahr'!P48-'Liquiditätsplan-2.Jahr'!C48,0)</f>
        <v>0</v>
      </c>
      <c r="D48" s="828">
        <f>C48</f>
        <v>0</v>
      </c>
      <c r="E48" s="828"/>
      <c r="F48" s="828"/>
      <c r="G48" s="828"/>
      <c r="H48" s="828"/>
      <c r="I48" s="828"/>
      <c r="J48" s="828"/>
      <c r="K48" s="828"/>
      <c r="L48" s="828"/>
      <c r="M48" s="828"/>
      <c r="N48" s="828"/>
      <c r="O48" s="828"/>
      <c r="P48" s="675">
        <f>SUM(D48:O48)</f>
        <v>0</v>
      </c>
      <c r="Q48" s="656" t="str">
        <f t="shared" si="4"/>
        <v/>
      </c>
      <c r="R48" s="630"/>
      <c r="S48" s="630"/>
      <c r="T48" s="630"/>
      <c r="U48" s="630"/>
      <c r="V48" s="630"/>
      <c r="W48" s="630"/>
      <c r="X48" s="630"/>
      <c r="Y48" s="630"/>
      <c r="Z48" s="630"/>
      <c r="AA48" s="630"/>
      <c r="AB48" s="630"/>
      <c r="AC48" s="630"/>
    </row>
    <row r="49" spans="1:29" s="1" customFormat="1" ht="15.75" customHeight="1">
      <c r="A49" s="739" t="s">
        <v>446</v>
      </c>
      <c r="B49" s="879" t="s">
        <v>81</v>
      </c>
      <c r="C49" s="828">
        <v>0</v>
      </c>
      <c r="D49" s="828">
        <f>C49</f>
        <v>0</v>
      </c>
      <c r="E49" s="828"/>
      <c r="F49" s="828"/>
      <c r="G49" s="828"/>
      <c r="H49" s="828"/>
      <c r="I49" s="828"/>
      <c r="J49" s="828"/>
      <c r="K49" s="828"/>
      <c r="L49" s="828"/>
      <c r="M49" s="828"/>
      <c r="N49" s="828"/>
      <c r="O49" s="828"/>
      <c r="P49" s="675">
        <f t="shared" si="5"/>
        <v>0</v>
      </c>
      <c r="Q49" s="656" t="str">
        <f t="shared" si="4"/>
        <v/>
      </c>
      <c r="R49" s="630"/>
      <c r="S49" s="630"/>
      <c r="T49" s="630"/>
      <c r="U49" s="630"/>
      <c r="V49" s="630"/>
      <c r="W49" s="630"/>
      <c r="X49" s="630"/>
      <c r="Y49" s="630"/>
      <c r="Z49" s="630"/>
      <c r="AA49" s="630"/>
      <c r="AB49" s="630"/>
      <c r="AC49" s="630"/>
    </row>
    <row r="50" spans="1:29" s="1" customFormat="1" ht="15.75" customHeight="1">
      <c r="A50" s="657" t="s">
        <v>65</v>
      </c>
      <c r="B50" s="730" t="s">
        <v>80</v>
      </c>
      <c r="C50" s="828">
        <f>IF(OR(8=Startseite!$A50,9=Startseite!$A50,10=Startseite!$A50),0,Unternehmerlohn!J45+Unternehmerlohn!U45+Unternehmerlohn!AF45)</f>
        <v>0</v>
      </c>
      <c r="D50" s="828">
        <f>$C50/12</f>
        <v>0</v>
      </c>
      <c r="E50" s="828">
        <f t="shared" ref="E50:O50" si="7">$C50/12</f>
        <v>0</v>
      </c>
      <c r="F50" s="828">
        <f t="shared" si="7"/>
        <v>0</v>
      </c>
      <c r="G50" s="828">
        <f t="shared" si="7"/>
        <v>0</v>
      </c>
      <c r="H50" s="828">
        <f t="shared" si="7"/>
        <v>0</v>
      </c>
      <c r="I50" s="828">
        <f t="shared" si="7"/>
        <v>0</v>
      </c>
      <c r="J50" s="828">
        <f t="shared" si="7"/>
        <v>0</v>
      </c>
      <c r="K50" s="828">
        <f t="shared" si="7"/>
        <v>0</v>
      </c>
      <c r="L50" s="828">
        <f t="shared" si="7"/>
        <v>0</v>
      </c>
      <c r="M50" s="828">
        <f t="shared" si="7"/>
        <v>0</v>
      </c>
      <c r="N50" s="828">
        <f t="shared" si="7"/>
        <v>0</v>
      </c>
      <c r="O50" s="828">
        <f t="shared" si="7"/>
        <v>0</v>
      </c>
      <c r="P50" s="675">
        <f t="shared" si="5"/>
        <v>0</v>
      </c>
      <c r="Q50" s="656" t="str">
        <f>IF(AND(ABS(P50-C50)&gt;50,P50&lt;&gt;0),"Überprüfe und ggf. ermittle Monatswerte für geplanten Unternehmerlohn","")</f>
        <v/>
      </c>
      <c r="R50" s="630"/>
      <c r="S50" s="630"/>
      <c r="T50" s="630"/>
      <c r="U50" s="630"/>
      <c r="V50" s="630"/>
      <c r="W50" s="630"/>
      <c r="X50" s="630"/>
      <c r="Y50" s="630"/>
      <c r="Z50" s="630"/>
      <c r="AA50" s="630"/>
      <c r="AB50" s="630"/>
      <c r="AC50" s="630"/>
    </row>
    <row r="51" spans="1:29" s="1" customFormat="1" ht="15.75" customHeight="1">
      <c r="A51" s="657" t="s">
        <v>431</v>
      </c>
      <c r="B51" s="730" t="s">
        <v>80</v>
      </c>
      <c r="C51" s="659">
        <f>Rentabilität!J44</f>
        <v>0</v>
      </c>
      <c r="D51" s="828">
        <f>Hilfstabelle!B118+'Zins und Tilgung'!$AS18/12</f>
        <v>0</v>
      </c>
      <c r="E51" s="828">
        <f>Hilfstabelle!C118+'Zins und Tilgung'!$AS18/12</f>
        <v>0</v>
      </c>
      <c r="F51" s="828">
        <f>Hilfstabelle!D118+'Zins und Tilgung'!$AS18/12</f>
        <v>0</v>
      </c>
      <c r="G51" s="828">
        <f>Hilfstabelle!E118+'Zins und Tilgung'!$AS18/12</f>
        <v>0</v>
      </c>
      <c r="H51" s="828">
        <f>Hilfstabelle!F118+'Zins und Tilgung'!$AS18/12</f>
        <v>0</v>
      </c>
      <c r="I51" s="828">
        <f>Hilfstabelle!G118+'Zins und Tilgung'!$AS18/12</f>
        <v>0</v>
      </c>
      <c r="J51" s="828">
        <f>Hilfstabelle!H118+'Zins und Tilgung'!$AS18/12</f>
        <v>0</v>
      </c>
      <c r="K51" s="828">
        <f>Hilfstabelle!I118+'Zins und Tilgung'!$AS18/12</f>
        <v>0</v>
      </c>
      <c r="L51" s="828">
        <f>Hilfstabelle!J118+'Zins und Tilgung'!$AS18/12</f>
        <v>0</v>
      </c>
      <c r="M51" s="828">
        <f>Hilfstabelle!K118+'Zins und Tilgung'!$AS18/12</f>
        <v>0</v>
      </c>
      <c r="N51" s="828">
        <f>Hilfstabelle!L118+'Zins und Tilgung'!$AS18/12</f>
        <v>0</v>
      </c>
      <c r="O51" s="828">
        <f>Hilfstabelle!M118+'Zins und Tilgung'!$AS18/12</f>
        <v>0</v>
      </c>
      <c r="P51" s="675">
        <f t="shared" si="5"/>
        <v>0</v>
      </c>
      <c r="Q51" s="656" t="str">
        <f>IF(AND(ABS(P51-C51)&gt;100,P51&lt;&gt;0),"Überprüfe Eintragung","")</f>
        <v/>
      </c>
      <c r="R51" s="630"/>
      <c r="S51" s="630"/>
      <c r="T51" s="630"/>
      <c r="U51" s="630"/>
      <c r="V51" s="630"/>
      <c r="W51" s="630"/>
      <c r="X51" s="630"/>
      <c r="Y51" s="630"/>
      <c r="Z51" s="630"/>
      <c r="AA51" s="630"/>
      <c r="AB51" s="630"/>
      <c r="AC51" s="630"/>
    </row>
    <row r="52" spans="1:29" s="1" customFormat="1" ht="15.75" customHeight="1" thickBot="1">
      <c r="A52" s="688" t="s">
        <v>79</v>
      </c>
      <c r="B52" s="740"/>
      <c r="C52" s="690">
        <f>(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C25+IF($B27="ja",C27,0)+C28+C30+C31+C32+C33+C34+C35+C36+C37+C38+C39+C40+C43+C44+C45+C46+IF($B49="ja",C49,0)+IF($B48="ja",C48,0))*0.19</f>
        <v>0</v>
      </c>
      <c r="D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D24,0))+(SUM(D25:D51)-D26-IF($B27="nein",D27,0)-D29-D41-D42-D47-IF($B49="nein",D49,0)-IF($B48="nein",D48,0)-D50-D51)*$B$11)</f>
        <v>0</v>
      </c>
      <c r="E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E24,0))+(SUM(E25:E51)-E26-IF($B27="nein",E27,0)-E29-E41-E42-E47-IF($B49="nein",E49,0)-IF($B48="nein",E48,0)-E50-E51)*$B$11)</f>
        <v>0</v>
      </c>
      <c r="F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F24,0))+(SUM(F25:F51)-F26-IF($B27="nein",F27,0)-F29-F41-F42-F47-IF($B49="nein",F49,0)-IF($B48="nein",F48,0)-F50-F51)*$B$11)</f>
        <v>0</v>
      </c>
      <c r="G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G24,0))+(SUM(G25:G51)-G26-IF($B27="nein",G27,0)-G29-G41-G42-G47-IF($B49="nein",G49,0)-IF($B48="nein",G48,0)-G50-G51)*$B$11)</f>
        <v>0</v>
      </c>
      <c r="H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H24,0))+(SUM(H25:H51)-H26-IF($B27="nein",H27,0)-H29-H41-H42-H47-IF($B49="nein",H49,0)-IF($B48="nein",H48,0)-H50-H51)*$B$11)</f>
        <v>0</v>
      </c>
      <c r="I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I24,0))+(SUM(I25:I51)-I26-IF($B27="nein",I27,0)-I29-I41-I42-I47-IF($B49="nein",I49,0)-IF($B48="nein",I48,0)-I50-I51)*$B$11)</f>
        <v>0</v>
      </c>
      <c r="J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J24,0))+(SUM(J25:J51)-J26-IF($B27="nein",J27,0)-J29-J41-J42-J47-IF($B49="nein",J49,0)-IF($B48="nein",J48,0)-J50-J51)*$B$11)</f>
        <v>0</v>
      </c>
      <c r="K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K24,0))+(SUM(K25:K51)-K26-IF($B27="nein",K27,0)-K29-K41-K42-K47-IF($B49="nein",K49,0)-IF($B48="nein",K48,0)-K50-K51)*$B$11)</f>
        <v>0</v>
      </c>
      <c r="L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L24,0))+(SUM(L25:L51)-L26-IF($B27="nein",L27,0)-L29-L41-L42-L47-IF($B49="nein",L49,0)-IF($B48="nein",L48,0)-L50-L51)*$B$11)</f>
        <v>0</v>
      </c>
      <c r="M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M24,0))+(SUM(M25:M51)-M26-IF($B27="nein",M27,0)-M29-M41-M42-M47-IF($B49="nein",M49,0)-IF($B48="nein",M48,0)-M50-M51)*$B$11)</f>
        <v>0</v>
      </c>
      <c r="N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N24,0))+(SUM(N25:N51)-N26-IF($B27="nein",N27,0)-N29-N41-N42-N47-IF($B49="nein",N49,0)-IF($B48="nein",N48,0)-N50-N51)*$B$11)</f>
        <v>0</v>
      </c>
      <c r="O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O24,0))+(SUM(O25:O51)-O26-IF($B27="nein",O27,0)-O29-O41-O42-O47-IF($B49="nein",O49,0)-IF($B48="nein",O48,0)-O50-O51)*$B$11)</f>
        <v>0</v>
      </c>
      <c r="P52" s="691">
        <f t="shared" si="5"/>
        <v>0</v>
      </c>
      <c r="Q52" s="686"/>
      <c r="R52" s="630"/>
      <c r="S52" s="630"/>
      <c r="T52" s="630"/>
      <c r="U52" s="630"/>
      <c r="V52" s="630"/>
      <c r="W52" s="630"/>
      <c r="X52" s="630"/>
      <c r="Y52" s="630"/>
      <c r="Z52" s="630"/>
      <c r="AA52" s="630"/>
      <c r="AB52" s="630"/>
      <c r="AC52" s="630"/>
    </row>
    <row r="53" spans="1:29" s="1" customFormat="1" ht="16.8" thickTop="1" thickBot="1">
      <c r="A53" s="692" t="s">
        <v>191</v>
      </c>
      <c r="B53" s="741"/>
      <c r="C53" s="694">
        <f t="shared" ref="C53:O53" si="8">SUM(C24:C52)</f>
        <v>0</v>
      </c>
      <c r="D53" s="694">
        <f t="shared" si="8"/>
        <v>0</v>
      </c>
      <c r="E53" s="694">
        <f t="shared" si="8"/>
        <v>0</v>
      </c>
      <c r="F53" s="694">
        <f t="shared" si="8"/>
        <v>0</v>
      </c>
      <c r="G53" s="694">
        <f t="shared" si="8"/>
        <v>0</v>
      </c>
      <c r="H53" s="694">
        <f t="shared" si="8"/>
        <v>0</v>
      </c>
      <c r="I53" s="694">
        <f t="shared" si="8"/>
        <v>0</v>
      </c>
      <c r="J53" s="694">
        <f t="shared" si="8"/>
        <v>0</v>
      </c>
      <c r="K53" s="694">
        <f t="shared" si="8"/>
        <v>0</v>
      </c>
      <c r="L53" s="694">
        <f t="shared" si="8"/>
        <v>0</v>
      </c>
      <c r="M53" s="694">
        <f t="shared" si="8"/>
        <v>0</v>
      </c>
      <c r="N53" s="694">
        <f t="shared" si="8"/>
        <v>0</v>
      </c>
      <c r="O53" s="694">
        <f t="shared" si="8"/>
        <v>0</v>
      </c>
      <c r="P53" s="681">
        <f t="shared" si="5"/>
        <v>0</v>
      </c>
      <c r="Q53" s="686"/>
      <c r="R53" s="630"/>
      <c r="S53" s="630"/>
      <c r="T53" s="630"/>
      <c r="U53" s="630"/>
      <c r="V53" s="630"/>
      <c r="W53" s="630"/>
      <c r="X53" s="630"/>
      <c r="Y53" s="630"/>
      <c r="Z53" s="630"/>
      <c r="AA53" s="630"/>
      <c r="AB53" s="630"/>
      <c r="AC53" s="630"/>
    </row>
    <row r="54" spans="1:29" s="1" customFormat="1" ht="20.25" customHeight="1" thickTop="1">
      <c r="A54" s="763" t="s">
        <v>66</v>
      </c>
      <c r="B54" s="764"/>
      <c r="C54" s="765"/>
      <c r="D54" s="673">
        <f>IF(Hilfstabelle!H153="ja",-'Liquiditätsplan-2.Jahr'!O15+'Liquiditätsplan-2.Jahr'!O52,0)</f>
        <v>0</v>
      </c>
      <c r="E54" s="698">
        <f>IF(Hilfstabelle!$H$153="ja",-D15+D52,0)</f>
        <v>0</v>
      </c>
      <c r="F54" s="698">
        <f>IF(Hilfstabelle!$H$153="ja",-E15+E52,0)</f>
        <v>0</v>
      </c>
      <c r="G54" s="698">
        <f>IF(Hilfstabelle!$H$153="ja",-F15+F52,0)</f>
        <v>0</v>
      </c>
      <c r="H54" s="698">
        <f>IF(Hilfstabelle!$H$153="ja",-G15+G52,0)</f>
        <v>0</v>
      </c>
      <c r="I54" s="698">
        <f>IF(Hilfstabelle!$H$153="ja",-H15+H52,0)</f>
        <v>0</v>
      </c>
      <c r="J54" s="698">
        <f>IF(Hilfstabelle!$H$153="ja",-I15+I52,0)</f>
        <v>0</v>
      </c>
      <c r="K54" s="698">
        <f>IF(Hilfstabelle!$H$153="ja",-J15+J52,0)</f>
        <v>0</v>
      </c>
      <c r="L54" s="698">
        <f>IF(Hilfstabelle!$H$153="ja",-K15+K52,0)</f>
        <v>0</v>
      </c>
      <c r="M54" s="698">
        <f>IF(Hilfstabelle!$H$153="ja",-L15+L52,0)</f>
        <v>0</v>
      </c>
      <c r="N54" s="698">
        <f>IF(Hilfstabelle!$H$153="ja",-M15+M52,0)</f>
        <v>0</v>
      </c>
      <c r="O54" s="698">
        <f>IF(Hilfstabelle!$H$153="ja",-N15+N52,0)</f>
        <v>0</v>
      </c>
      <c r="P54" s="674">
        <f t="shared" si="5"/>
        <v>0</v>
      </c>
      <c r="Q54" s="686"/>
      <c r="R54" s="630"/>
      <c r="S54" s="630"/>
      <c r="T54" s="630"/>
      <c r="U54" s="630"/>
      <c r="V54" s="630"/>
      <c r="W54" s="630"/>
      <c r="X54" s="630"/>
      <c r="Y54" s="630"/>
      <c r="Z54" s="630"/>
      <c r="AA54" s="630"/>
      <c r="AB54" s="630"/>
      <c r="AC54" s="630"/>
    </row>
    <row r="55" spans="1:29" s="1" customFormat="1" ht="20.25" customHeight="1">
      <c r="A55" s="633"/>
      <c r="B55" s="721"/>
      <c r="C55" s="766"/>
      <c r="D55" s="767"/>
      <c r="E55" s="767"/>
      <c r="F55" s="767"/>
      <c r="G55" s="767"/>
      <c r="H55" s="767"/>
      <c r="I55" s="767"/>
      <c r="J55" s="767"/>
      <c r="K55" s="767"/>
      <c r="L55" s="767"/>
      <c r="M55" s="767"/>
      <c r="N55" s="767"/>
      <c r="O55" s="767"/>
      <c r="P55" s="715"/>
      <c r="Q55" s="686"/>
      <c r="R55" s="630"/>
      <c r="S55" s="630"/>
      <c r="T55" s="630"/>
      <c r="U55" s="630"/>
      <c r="V55" s="630"/>
      <c r="W55" s="630"/>
      <c r="X55" s="630"/>
      <c r="Y55" s="630"/>
      <c r="Z55" s="630"/>
      <c r="AA55" s="630"/>
      <c r="AB55" s="630"/>
      <c r="AC55" s="630"/>
    </row>
    <row r="56" spans="1:29" s="1" customFormat="1" ht="15.6">
      <c r="A56" s="653" t="s">
        <v>85</v>
      </c>
      <c r="B56" s="728"/>
      <c r="C56" s="654">
        <f>'Liquiditätsplan-2.Jahr'!O57</f>
        <v>0</v>
      </c>
      <c r="D56" s="703">
        <f t="shared" ref="D56:O56" si="9">D21-D53+D54</f>
        <v>0</v>
      </c>
      <c r="E56" s="703">
        <f t="shared" si="9"/>
        <v>0</v>
      </c>
      <c r="F56" s="703">
        <f t="shared" si="9"/>
        <v>0</v>
      </c>
      <c r="G56" s="703">
        <f t="shared" si="9"/>
        <v>0</v>
      </c>
      <c r="H56" s="703">
        <f t="shared" si="9"/>
        <v>0</v>
      </c>
      <c r="I56" s="703">
        <f t="shared" si="9"/>
        <v>0</v>
      </c>
      <c r="J56" s="703">
        <f t="shared" si="9"/>
        <v>0</v>
      </c>
      <c r="K56" s="703">
        <f t="shared" si="9"/>
        <v>0</v>
      </c>
      <c r="L56" s="703">
        <f t="shared" si="9"/>
        <v>0</v>
      </c>
      <c r="M56" s="703">
        <f t="shared" si="9"/>
        <v>0</v>
      </c>
      <c r="N56" s="703">
        <f t="shared" si="9"/>
        <v>0</v>
      </c>
      <c r="O56" s="703">
        <f t="shared" si="9"/>
        <v>0</v>
      </c>
      <c r="P56" s="704">
        <f>SUM(C56:O56)</f>
        <v>0</v>
      </c>
      <c r="Q56" s="686"/>
      <c r="R56" s="630"/>
      <c r="S56" s="630"/>
      <c r="T56" s="630"/>
      <c r="U56" s="630"/>
      <c r="V56" s="630"/>
      <c r="W56" s="630"/>
      <c r="X56" s="630"/>
      <c r="Y56" s="630"/>
      <c r="Z56" s="630"/>
      <c r="AA56" s="630"/>
      <c r="AB56" s="630"/>
      <c r="AC56" s="630"/>
    </row>
    <row r="57" spans="1:29" s="1" customFormat="1" ht="16.2" thickBot="1">
      <c r="A57" s="768" t="s">
        <v>67</v>
      </c>
      <c r="B57" s="769"/>
      <c r="C57" s="770"/>
      <c r="D57" s="771">
        <f>D56+C56</f>
        <v>0</v>
      </c>
      <c r="E57" s="771">
        <f t="shared" ref="E57:O57" si="10">D57+E56</f>
        <v>0</v>
      </c>
      <c r="F57" s="771">
        <f t="shared" si="10"/>
        <v>0</v>
      </c>
      <c r="G57" s="771">
        <f t="shared" si="10"/>
        <v>0</v>
      </c>
      <c r="H57" s="771">
        <f t="shared" si="10"/>
        <v>0</v>
      </c>
      <c r="I57" s="771">
        <f t="shared" si="10"/>
        <v>0</v>
      </c>
      <c r="J57" s="771">
        <f t="shared" si="10"/>
        <v>0</v>
      </c>
      <c r="K57" s="771">
        <f t="shared" si="10"/>
        <v>0</v>
      </c>
      <c r="L57" s="771">
        <f t="shared" si="10"/>
        <v>0</v>
      </c>
      <c r="M57" s="771">
        <f t="shared" si="10"/>
        <v>0</v>
      </c>
      <c r="N57" s="771">
        <f t="shared" si="10"/>
        <v>0</v>
      </c>
      <c r="O57" s="772">
        <f t="shared" si="10"/>
        <v>0</v>
      </c>
      <c r="P57" s="710"/>
      <c r="Q57" s="686"/>
      <c r="R57" s="630"/>
      <c r="S57" s="630"/>
      <c r="T57" s="630"/>
      <c r="U57" s="630"/>
      <c r="V57" s="630"/>
      <c r="W57" s="630"/>
      <c r="X57" s="630"/>
      <c r="Y57" s="630"/>
      <c r="Z57" s="630"/>
      <c r="AA57" s="630"/>
      <c r="AB57" s="630"/>
      <c r="AC57" s="630"/>
    </row>
    <row r="58" spans="1:29" s="1" customFormat="1" ht="15.6">
      <c r="A58" s="633"/>
      <c r="B58" s="721"/>
      <c r="C58" s="766"/>
      <c r="D58" s="767"/>
      <c r="E58" s="767"/>
      <c r="F58" s="767"/>
      <c r="G58" s="767"/>
      <c r="H58" s="767"/>
      <c r="I58" s="767"/>
      <c r="J58" s="767"/>
      <c r="K58" s="767"/>
      <c r="L58" s="767"/>
      <c r="M58" s="767"/>
      <c r="N58" s="767"/>
      <c r="O58" s="767"/>
      <c r="P58" s="715"/>
      <c r="Q58" s="686"/>
      <c r="R58" s="630"/>
      <c r="S58" s="630"/>
      <c r="T58" s="630"/>
      <c r="U58" s="630"/>
      <c r="V58" s="630"/>
      <c r="W58" s="630"/>
      <c r="X58" s="630"/>
      <c r="Y58" s="630"/>
      <c r="Z58" s="630"/>
      <c r="AA58" s="630"/>
      <c r="AB58" s="630"/>
      <c r="AC58" s="630"/>
    </row>
    <row r="59" spans="1:29" ht="15.6">
      <c r="A59" s="653" t="s">
        <v>125</v>
      </c>
      <c r="B59" s="773"/>
      <c r="C59" s="657">
        <f>'Liquiditätsplan-2.Jahr'!O59</f>
        <v>0</v>
      </c>
      <c r="D59" s="657">
        <f t="shared" ref="D59:O59" si="11">$C59</f>
        <v>0</v>
      </c>
      <c r="E59" s="657">
        <f t="shared" si="11"/>
        <v>0</v>
      </c>
      <c r="F59" s="657">
        <f t="shared" si="11"/>
        <v>0</v>
      </c>
      <c r="G59" s="657">
        <f t="shared" si="11"/>
        <v>0</v>
      </c>
      <c r="H59" s="657">
        <f t="shared" si="11"/>
        <v>0</v>
      </c>
      <c r="I59" s="657">
        <f t="shared" si="11"/>
        <v>0</v>
      </c>
      <c r="J59" s="657">
        <f t="shared" si="11"/>
        <v>0</v>
      </c>
      <c r="K59" s="657">
        <f t="shared" si="11"/>
        <v>0</v>
      </c>
      <c r="L59" s="657">
        <f t="shared" si="11"/>
        <v>0</v>
      </c>
      <c r="M59" s="657">
        <f t="shared" si="11"/>
        <v>0</v>
      </c>
      <c r="N59" s="657">
        <f t="shared" si="11"/>
        <v>0</v>
      </c>
      <c r="O59" s="657">
        <f t="shared" si="11"/>
        <v>0</v>
      </c>
      <c r="P59" s="718"/>
      <c r="Q59" s="718"/>
      <c r="R59" s="718"/>
      <c r="S59" s="718"/>
      <c r="T59" s="718"/>
      <c r="U59" s="718"/>
      <c r="V59" s="718"/>
      <c r="W59" s="718"/>
      <c r="X59" s="718"/>
      <c r="Y59" s="718"/>
      <c r="Z59" s="718"/>
      <c r="AA59" s="718"/>
      <c r="AB59" s="718"/>
      <c r="AC59" s="718"/>
    </row>
    <row r="60" spans="1:29" ht="15.6">
      <c r="A60" s="716" t="s">
        <v>600</v>
      </c>
      <c r="B60" s="717"/>
      <c r="C60" s="1040"/>
      <c r="D60" s="1041">
        <f>D59+D57</f>
        <v>0</v>
      </c>
      <c r="E60" s="1041">
        <f t="shared" ref="E60:O60" si="12">E59+E57</f>
        <v>0</v>
      </c>
      <c r="F60" s="1041">
        <f t="shared" si="12"/>
        <v>0</v>
      </c>
      <c r="G60" s="1041">
        <f t="shared" si="12"/>
        <v>0</v>
      </c>
      <c r="H60" s="1041">
        <f t="shared" si="12"/>
        <v>0</v>
      </c>
      <c r="I60" s="1041">
        <f t="shared" si="12"/>
        <v>0</v>
      </c>
      <c r="J60" s="1041">
        <f t="shared" si="12"/>
        <v>0</v>
      </c>
      <c r="K60" s="1041">
        <f t="shared" si="12"/>
        <v>0</v>
      </c>
      <c r="L60" s="1041">
        <f t="shared" si="12"/>
        <v>0</v>
      </c>
      <c r="M60" s="1041">
        <f t="shared" si="12"/>
        <v>0</v>
      </c>
      <c r="N60" s="1041">
        <f t="shared" si="12"/>
        <v>0</v>
      </c>
      <c r="O60" s="1041">
        <f t="shared" si="12"/>
        <v>0</v>
      </c>
      <c r="P60" s="718"/>
      <c r="Q60" s="718"/>
      <c r="R60" s="718"/>
      <c r="S60" s="718"/>
      <c r="T60" s="718"/>
      <c r="U60" s="718"/>
      <c r="V60" s="718"/>
      <c r="W60" s="718"/>
      <c r="X60" s="718"/>
      <c r="Y60" s="718"/>
      <c r="Z60" s="718"/>
      <c r="AA60" s="718"/>
      <c r="AB60" s="718"/>
      <c r="AC60" s="718"/>
    </row>
    <row r="61" spans="1:29" ht="18.75" customHeight="1">
      <c r="A61" s="718"/>
      <c r="B61" s="757"/>
      <c r="C61" s="718"/>
      <c r="D61" s="656" t="str">
        <f>IF(OR(-D57&gt;D59,-E57&gt;E59,-F57&gt;F59),"Kreditrahmen überzogen!","")</f>
        <v/>
      </c>
      <c r="E61" s="718"/>
      <c r="F61" s="718"/>
      <c r="G61" s="656" t="str">
        <f>IF(OR(-G57&gt;G59,-H57&gt;H59,-I57&gt;I59),"Kreditrahmen überzogen!","")</f>
        <v/>
      </c>
      <c r="H61" s="718"/>
      <c r="I61" s="718"/>
      <c r="J61" s="656" t="str">
        <f>IF(OR(-J57&gt;J59,-K57&gt;K59,-L57&gt;L59),"Kreditrahmen überzogen!","")</f>
        <v/>
      </c>
      <c r="K61" s="718"/>
      <c r="L61" s="718"/>
      <c r="M61" s="656" t="str">
        <f>IF(OR(-M57&gt;M59,-N57&gt;N59,-O57&gt;O59),"Kreditrahmen überzogen!","")</f>
        <v/>
      </c>
      <c r="N61" s="718"/>
      <c r="O61" s="718"/>
      <c r="P61" s="718"/>
      <c r="Q61" s="718"/>
      <c r="R61" s="718"/>
      <c r="S61" s="718"/>
      <c r="T61" s="718"/>
      <c r="U61" s="718"/>
      <c r="V61" s="718"/>
      <c r="W61" s="718"/>
      <c r="X61" s="718"/>
      <c r="Y61" s="718"/>
      <c r="Z61" s="718"/>
      <c r="AA61" s="718"/>
      <c r="AB61" s="718"/>
      <c r="AC61" s="718"/>
    </row>
    <row r="62" spans="1:29">
      <c r="A62" s="718"/>
      <c r="B62" s="757"/>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row>
    <row r="63" spans="1:29">
      <c r="A63" s="718"/>
      <c r="B63" s="757"/>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row>
    <row r="64" spans="1:29">
      <c r="A64" s="718"/>
      <c r="B64" s="757"/>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row>
    <row r="65" spans="1:29">
      <c r="A65" s="718"/>
      <c r="B65" s="757"/>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row>
    <row r="66" spans="1:29">
      <c r="A66" s="718"/>
      <c r="B66" s="757"/>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row>
    <row r="67" spans="1:29">
      <c r="A67" s="718"/>
      <c r="B67" s="757"/>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row>
    <row r="68" spans="1:29">
      <c r="A68" s="718"/>
      <c r="B68" s="757"/>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row>
    <row r="69" spans="1:29">
      <c r="A69" s="718"/>
      <c r="B69" s="757"/>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row>
    <row r="70" spans="1:29">
      <c r="A70" s="718"/>
      <c r="B70" s="757"/>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row>
    <row r="71" spans="1:29">
      <c r="A71" s="718"/>
      <c r="B71" s="757"/>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row>
    <row r="72" spans="1:29">
      <c r="A72" s="718"/>
      <c r="B72" s="757"/>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row>
    <row r="73" spans="1:29">
      <c r="A73" s="718"/>
      <c r="B73" s="757"/>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row>
    <row r="74" spans="1:29">
      <c r="A74" s="718"/>
      <c r="B74" s="757"/>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row>
    <row r="75" spans="1:29">
      <c r="A75" s="718"/>
      <c r="B75" s="757"/>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row>
    <row r="76" spans="1:29">
      <c r="A76" s="718"/>
      <c r="B76" s="757"/>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row>
    <row r="77" spans="1:29">
      <c r="A77" s="718"/>
      <c r="B77" s="757"/>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row>
    <row r="78" spans="1:29">
      <c r="A78" s="718"/>
      <c r="B78" s="757"/>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row>
    <row r="79" spans="1:29">
      <c r="A79" s="718"/>
      <c r="B79" s="757"/>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row>
    <row r="80" spans="1:29">
      <c r="A80" s="718"/>
      <c r="B80" s="757"/>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row>
    <row r="81" spans="1:29">
      <c r="A81" s="718"/>
      <c r="B81" s="757"/>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row>
    <row r="82" spans="1:29">
      <c r="A82" s="718"/>
      <c r="B82" s="757"/>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row>
    <row r="83" spans="1:29">
      <c r="A83" s="718"/>
      <c r="B83" s="757"/>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row>
    <row r="84" spans="1:29">
      <c r="A84" s="718"/>
      <c r="B84" s="757"/>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row>
    <row r="85" spans="1:29">
      <c r="A85" s="718"/>
      <c r="B85" s="757"/>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row>
    <row r="86" spans="1:29">
      <c r="A86" s="718"/>
      <c r="B86" s="757"/>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row>
    <row r="87" spans="1:29">
      <c r="A87" s="718"/>
      <c r="B87" s="757"/>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row>
    <row r="88" spans="1:29">
      <c r="A88" s="718"/>
      <c r="B88" s="757"/>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row>
    <row r="89" spans="1:29">
      <c r="A89" s="718"/>
      <c r="B89" s="75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row>
    <row r="90" spans="1:29">
      <c r="A90" s="718"/>
      <c r="B90" s="757"/>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row>
    <row r="91" spans="1:29">
      <c r="A91" s="718"/>
      <c r="B91" s="757"/>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row>
    <row r="92" spans="1:29">
      <c r="A92" s="718"/>
      <c r="B92" s="757"/>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row>
    <row r="93" spans="1:29">
      <c r="A93" s="718"/>
      <c r="B93" s="757"/>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row>
    <row r="94" spans="1:29">
      <c r="A94" s="718"/>
      <c r="B94" s="757"/>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row>
    <row r="95" spans="1:29">
      <c r="A95" s="718"/>
      <c r="B95" s="757"/>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row>
    <row r="96" spans="1:29">
      <c r="A96" s="718"/>
      <c r="B96" s="757"/>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row>
    <row r="97" spans="1:29">
      <c r="A97" s="718"/>
      <c r="B97" s="757"/>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row>
    <row r="98" spans="1:29">
      <c r="A98" s="718"/>
      <c r="B98" s="757"/>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row>
    <row r="99" spans="1:29">
      <c r="A99" s="718"/>
      <c r="B99" s="757"/>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row>
    <row r="100" spans="1:29">
      <c r="A100" s="718"/>
      <c r="B100" s="757"/>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row>
    <row r="101" spans="1:29">
      <c r="A101" s="718"/>
      <c r="B101" s="757"/>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row>
    <row r="102" spans="1:29">
      <c r="A102" s="718"/>
      <c r="B102" s="757"/>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row>
    <row r="103" spans="1:29">
      <c r="A103" s="718"/>
      <c r="B103" s="757"/>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row>
    <row r="104" spans="1:29">
      <c r="A104" s="718"/>
      <c r="B104" s="757"/>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row>
    <row r="105" spans="1:29">
      <c r="A105" s="718"/>
      <c r="B105" s="757"/>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row>
    <row r="106" spans="1:29">
      <c r="A106" s="718"/>
      <c r="B106" s="757"/>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row>
    <row r="107" spans="1:29">
      <c r="A107" s="718"/>
      <c r="B107" s="757"/>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row>
    <row r="108" spans="1:29">
      <c r="A108" s="718"/>
      <c r="B108" s="757"/>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row>
    <row r="109" spans="1:29">
      <c r="A109" s="718"/>
      <c r="B109" s="757"/>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row>
    <row r="110" spans="1:29">
      <c r="A110" s="718"/>
      <c r="B110" s="757"/>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row>
    <row r="111" spans="1:29">
      <c r="A111" s="718"/>
      <c r="B111" s="757"/>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row>
    <row r="112" spans="1:29">
      <c r="A112" s="718"/>
      <c r="B112" s="757"/>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row>
    <row r="113" spans="1:29">
      <c r="A113" s="718"/>
      <c r="B113" s="757"/>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row>
    <row r="114" spans="1:29">
      <c r="A114" s="718"/>
      <c r="B114" s="757"/>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row>
    <row r="115" spans="1:29">
      <c r="A115" s="718"/>
      <c r="B115" s="757"/>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row>
    <row r="116" spans="1:29">
      <c r="A116" s="718"/>
      <c r="B116" s="757"/>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row>
    <row r="117" spans="1:29">
      <c r="A117" s="718"/>
      <c r="B117" s="757"/>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row>
    <row r="118" spans="1:29">
      <c r="A118" s="718"/>
      <c r="B118" s="757"/>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row>
    <row r="119" spans="1:29">
      <c r="A119" s="718"/>
      <c r="B119" s="757"/>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row>
    <row r="120" spans="1:29">
      <c r="A120" s="718"/>
      <c r="B120" s="757"/>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row>
    <row r="121" spans="1:29">
      <c r="A121" s="718"/>
      <c r="B121" s="757"/>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row>
    <row r="122" spans="1:29">
      <c r="A122" s="718"/>
      <c r="B122" s="757"/>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row>
    <row r="123" spans="1:29">
      <c r="A123" s="718"/>
      <c r="B123" s="757"/>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row>
    <row r="124" spans="1:29">
      <c r="A124" s="718"/>
      <c r="B124" s="757"/>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row>
    <row r="125" spans="1:29">
      <c r="A125" s="718"/>
      <c r="B125" s="757"/>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row>
    <row r="126" spans="1:29">
      <c r="A126" s="718"/>
      <c r="B126" s="757"/>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row>
    <row r="127" spans="1:29">
      <c r="A127" s="718"/>
      <c r="B127" s="757"/>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row>
    <row r="128" spans="1:29">
      <c r="A128" s="718"/>
      <c r="B128" s="757"/>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row>
    <row r="129" spans="1:29">
      <c r="A129" s="718"/>
      <c r="B129" s="757"/>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row>
    <row r="130" spans="1:29">
      <c r="A130" s="718"/>
      <c r="B130" s="757"/>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row>
    <row r="131" spans="1:29">
      <c r="A131" s="718"/>
      <c r="B131" s="757"/>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row>
    <row r="132" spans="1:29">
      <c r="A132" s="718"/>
      <c r="B132" s="757"/>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row>
    <row r="133" spans="1:29">
      <c r="A133" s="718"/>
      <c r="B133" s="757"/>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row>
    <row r="134" spans="1:29">
      <c r="A134" s="718"/>
      <c r="B134" s="757"/>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row>
    <row r="135" spans="1:29">
      <c r="A135" s="718"/>
      <c r="B135" s="757"/>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row>
    <row r="136" spans="1:29">
      <c r="A136" s="718"/>
      <c r="B136" s="757"/>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row>
    <row r="137" spans="1:29">
      <c r="A137" s="718"/>
      <c r="B137" s="757"/>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row>
    <row r="138" spans="1:29">
      <c r="A138" s="718"/>
      <c r="B138" s="757"/>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row>
    <row r="139" spans="1:29">
      <c r="A139" s="718"/>
      <c r="B139" s="757"/>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row>
    <row r="140" spans="1:29">
      <c r="A140" s="718"/>
      <c r="B140" s="757"/>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row>
    <row r="141" spans="1:29">
      <c r="A141" s="718"/>
      <c r="B141" s="757"/>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row>
    <row r="142" spans="1:29">
      <c r="A142" s="718"/>
      <c r="B142" s="757"/>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row>
    <row r="143" spans="1:29">
      <c r="A143" s="718"/>
      <c r="B143" s="757"/>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row>
    <row r="144" spans="1:29">
      <c r="A144" s="718"/>
      <c r="B144" s="757"/>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row>
    <row r="145" spans="1:29">
      <c r="A145" s="718"/>
      <c r="B145" s="757"/>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row>
    <row r="146" spans="1:29">
      <c r="A146" s="718"/>
      <c r="B146" s="757"/>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row>
    <row r="147" spans="1:29">
      <c r="A147" s="718"/>
      <c r="B147" s="757"/>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row>
    <row r="148" spans="1:29">
      <c r="A148" s="718"/>
      <c r="B148" s="757"/>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row>
    <row r="149" spans="1:29">
      <c r="A149" s="718"/>
      <c r="B149" s="757"/>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row>
    <row r="150" spans="1:29">
      <c r="A150" s="718"/>
      <c r="B150" s="757"/>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row>
    <row r="151" spans="1:29">
      <c r="A151" s="718"/>
      <c r="B151" s="757"/>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row>
    <row r="152" spans="1:29">
      <c r="A152" s="718"/>
      <c r="B152" s="757"/>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row>
    <row r="153" spans="1:29">
      <c r="A153" s="718"/>
      <c r="B153" s="757"/>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row>
    <row r="154" spans="1:29">
      <c r="A154" s="718"/>
      <c r="B154" s="757"/>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row>
    <row r="155" spans="1:29">
      <c r="A155" s="718"/>
      <c r="B155" s="757"/>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row>
    <row r="156" spans="1:29">
      <c r="A156" s="718"/>
      <c r="B156" s="757"/>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row>
    <row r="157" spans="1:29">
      <c r="A157" s="718"/>
      <c r="B157" s="757"/>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row>
    <row r="158" spans="1:29">
      <c r="A158" s="718"/>
      <c r="B158" s="757"/>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row>
    <row r="159" spans="1:29">
      <c r="A159" s="718"/>
      <c r="B159" s="757"/>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row>
    <row r="160" spans="1:29">
      <c r="A160" s="718"/>
      <c r="B160" s="757"/>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row>
    <row r="161" spans="1:29">
      <c r="A161" s="718"/>
      <c r="B161" s="757"/>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row>
    <row r="162" spans="1:29">
      <c r="A162" s="718"/>
      <c r="B162" s="757"/>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row>
    <row r="163" spans="1:29">
      <c r="A163" s="718"/>
      <c r="B163" s="757"/>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row>
    <row r="164" spans="1:29">
      <c r="A164" s="718"/>
      <c r="B164" s="757"/>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row>
    <row r="165" spans="1:29">
      <c r="A165" s="718"/>
      <c r="B165" s="757"/>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row>
    <row r="166" spans="1:29">
      <c r="A166" s="718"/>
      <c r="B166" s="757"/>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row>
    <row r="167" spans="1:29">
      <c r="A167" s="718"/>
      <c r="B167" s="757"/>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row>
    <row r="168" spans="1:29">
      <c r="A168" s="718"/>
      <c r="B168" s="757"/>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row>
    <row r="169" spans="1:29">
      <c r="A169" s="718"/>
      <c r="B169" s="757"/>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row>
  </sheetData>
  <sheetProtection password="EAD7" sheet="1" objects="1" scenarios="1"/>
  <mergeCells count="3">
    <mergeCell ref="O5:P5"/>
    <mergeCell ref="D2:E2"/>
    <mergeCell ref="I16:J16"/>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300-000000000000}"/>
    <dataValidation type="custom" showInputMessage="1" showErrorMessage="1" errorTitle="Manuelle Bearbeitung deaktiviert" error="Wenn Sie die vorgeschlagenen Werte überschreiben wollen, aktivieren Sie oben die manuelle Bearbeitung, indem Sie &quot;ja&quot; eingeben!" sqref="C49:C50 C20:O20 D14:O14 D24:O51" xr:uid="{00000000-0002-0000-1300-000001000000}">
      <formula1>$B$2="ja"</formula1>
    </dataValidation>
  </dataValidations>
  <hyperlinks>
    <hyperlink ref="D2:E2" location="Startseite!C7" display="zurück zur Startseite" xr:uid="{00000000-0004-0000-1300-000000000000}"/>
  </hyperlinks>
  <pageMargins left="0.82677165354330717" right="0" top="1.1811023622047245" bottom="0.23622047244094491" header="0.19685039370078741" footer="0.23622047244094491"/>
  <pageSetup paperSize="9" scale="45" orientation="landscape" blackAndWhite="1" r:id="rId1"/>
  <headerFooter alignWithMargins="0">
    <oddFooter>&amp;L&amp;D&amp;RCopyright: Handwerkskammer Düsseldorf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N78"/>
  <sheetViews>
    <sheetView showGridLines="0" zoomScaleNormal="100" workbookViewId="0">
      <selection activeCell="C58" sqref="C58"/>
    </sheetView>
  </sheetViews>
  <sheetFormatPr baseColWidth="10" defaultRowHeight="12.6"/>
  <cols>
    <col min="1" max="8" width="11.5546875" style="119"/>
    <col min="9" max="9" width="4.109375" style="119" customWidth="1"/>
    <col min="10" max="40" width="11.5546875" style="119"/>
  </cols>
  <sheetData>
    <row r="2" spans="2:9" ht="13.2">
      <c r="G2" s="1059" t="s">
        <v>502</v>
      </c>
      <c r="H2" s="1060"/>
      <c r="I2" s="1061"/>
    </row>
    <row r="5" spans="2:9" ht="30">
      <c r="B5" s="1039" t="s">
        <v>579</v>
      </c>
    </row>
    <row r="6" spans="2:9" ht="33.75" customHeight="1">
      <c r="B6" s="1062" t="s">
        <v>580</v>
      </c>
      <c r="C6" s="1062"/>
      <c r="D6" s="1062"/>
      <c r="E6" s="1062"/>
      <c r="F6" s="1062"/>
      <c r="G6" s="1062"/>
      <c r="H6" s="1062"/>
      <c r="I6" s="1062"/>
    </row>
    <row r="8" spans="2:9" ht="13.2">
      <c r="B8" s="196" t="s">
        <v>581</v>
      </c>
    </row>
    <row r="9" spans="2:9" ht="13.2">
      <c r="B9" s="63" t="s">
        <v>582</v>
      </c>
    </row>
    <row r="10" spans="2:9" ht="13.2">
      <c r="B10" s="63" t="s">
        <v>583</v>
      </c>
    </row>
    <row r="11" spans="2:9" ht="13.2">
      <c r="B11" s="63" t="s">
        <v>584</v>
      </c>
    </row>
    <row r="20" spans="2:2" ht="13.2">
      <c r="B20" s="196" t="s">
        <v>585</v>
      </c>
    </row>
    <row r="21" spans="2:2" ht="13.2">
      <c r="B21" s="63" t="s">
        <v>586</v>
      </c>
    </row>
    <row r="22" spans="2:2" ht="13.2">
      <c r="B22" s="63" t="s">
        <v>587</v>
      </c>
    </row>
    <row r="23" spans="2:2" ht="13.2">
      <c r="B23" s="63"/>
    </row>
    <row r="24" spans="2:2" ht="13.2">
      <c r="B24" s="63"/>
    </row>
    <row r="25" spans="2:2" ht="13.2">
      <c r="B25" s="63"/>
    </row>
    <row r="26" spans="2:2" ht="13.2">
      <c r="B26" s="63"/>
    </row>
    <row r="27" spans="2:2" ht="13.2">
      <c r="B27" s="63"/>
    </row>
    <row r="28" spans="2:2" ht="13.2">
      <c r="B28" s="63"/>
    </row>
    <row r="29" spans="2:2" ht="13.2">
      <c r="B29" s="63"/>
    </row>
    <row r="30" spans="2:2" ht="13.2">
      <c r="B30" s="63"/>
    </row>
    <row r="31" spans="2:2" ht="13.2">
      <c r="B31" s="63"/>
    </row>
    <row r="32" spans="2:2" ht="13.2">
      <c r="B32" s="196"/>
    </row>
    <row r="33" spans="2:2" ht="13.2">
      <c r="B33" s="196" t="s">
        <v>588</v>
      </c>
    </row>
    <row r="34" spans="2:2" ht="13.2">
      <c r="B34" s="63" t="s">
        <v>589</v>
      </c>
    </row>
    <row r="35" spans="2:2" ht="13.2">
      <c r="B35" s="63" t="s">
        <v>590</v>
      </c>
    </row>
    <row r="36" spans="2:2" ht="13.2">
      <c r="B36" s="63"/>
    </row>
    <row r="37" spans="2:2" ht="13.2">
      <c r="B37" s="63"/>
    </row>
    <row r="38" spans="2:2" ht="13.2">
      <c r="B38" s="63"/>
    </row>
    <row r="39" spans="2:2" ht="13.2">
      <c r="B39" s="63"/>
    </row>
    <row r="40" spans="2:2" ht="13.2">
      <c r="B40" s="63"/>
    </row>
    <row r="41" spans="2:2" ht="18.75" customHeight="1">
      <c r="B41" s="63"/>
    </row>
    <row r="42" spans="2:2" ht="13.2">
      <c r="B42" s="196" t="s">
        <v>591</v>
      </c>
    </row>
    <row r="43" spans="2:2" ht="13.2">
      <c r="B43" s="63" t="s">
        <v>592</v>
      </c>
    </row>
    <row r="44" spans="2:2" ht="13.2">
      <c r="B44" s="63" t="s">
        <v>593</v>
      </c>
    </row>
    <row r="45" spans="2:2" ht="13.2">
      <c r="B45" s="63" t="s">
        <v>594</v>
      </c>
    </row>
    <row r="46" spans="2:2" ht="13.2">
      <c r="B46" s="63"/>
    </row>
    <row r="47" spans="2:2" ht="13.2">
      <c r="B47" s="63"/>
    </row>
    <row r="48" spans="2:2" ht="13.2">
      <c r="B48" s="63"/>
    </row>
    <row r="49" spans="2:2" ht="13.2">
      <c r="B49" s="63"/>
    </row>
    <row r="50" spans="2:2" ht="13.2">
      <c r="B50" s="63"/>
    </row>
    <row r="51" spans="2:2" ht="13.2">
      <c r="B51" s="63"/>
    </row>
    <row r="52" spans="2:2" ht="9.75" customHeight="1">
      <c r="B52" s="63"/>
    </row>
    <row r="53" spans="2:2" ht="13.2">
      <c r="B53" s="63"/>
    </row>
    <row r="54" spans="2:2" ht="13.2">
      <c r="B54" s="196" t="s">
        <v>595</v>
      </c>
    </row>
    <row r="55" spans="2:2" ht="13.2">
      <c r="B55" s="63" t="s">
        <v>596</v>
      </c>
    </row>
    <row r="56" spans="2:2" ht="13.2">
      <c r="B56" s="63" t="s">
        <v>597</v>
      </c>
    </row>
    <row r="57" spans="2:2" ht="13.2">
      <c r="B57" s="63" t="s">
        <v>598</v>
      </c>
    </row>
    <row r="58" spans="2:2" ht="13.2">
      <c r="B58" s="63" t="s">
        <v>599</v>
      </c>
    </row>
    <row r="59" spans="2:2" ht="13.2">
      <c r="B59" s="63"/>
    </row>
    <row r="60" spans="2:2" ht="13.2">
      <c r="B60" s="63"/>
    </row>
    <row r="61" spans="2:2" ht="13.2">
      <c r="B61" s="63"/>
    </row>
    <row r="62" spans="2:2" ht="13.2">
      <c r="B62" s="63"/>
    </row>
    <row r="63" spans="2:2" ht="13.2">
      <c r="B63" s="63"/>
    </row>
    <row r="64" spans="2:2" ht="13.2">
      <c r="B64" s="63"/>
    </row>
    <row r="65" spans="2:2" ht="13.2">
      <c r="B65" s="63"/>
    </row>
    <row r="66" spans="2:2" ht="13.2">
      <c r="B66" s="63"/>
    </row>
    <row r="67" spans="2:2" ht="13.2">
      <c r="B67" s="63"/>
    </row>
    <row r="68" spans="2:2" ht="13.2">
      <c r="B68" s="63"/>
    </row>
    <row r="69" spans="2:2" ht="13.2">
      <c r="B69" s="63"/>
    </row>
    <row r="70" spans="2:2" ht="13.2">
      <c r="B70" s="63"/>
    </row>
    <row r="71" spans="2:2" ht="13.2">
      <c r="B71" s="63"/>
    </row>
    <row r="72" spans="2:2" ht="13.2">
      <c r="B72" s="63"/>
    </row>
    <row r="73" spans="2:2" ht="13.2">
      <c r="B73" s="63"/>
    </row>
    <row r="74" spans="2:2" ht="13.2">
      <c r="B74" s="63"/>
    </row>
    <row r="75" spans="2:2" ht="13.2">
      <c r="B75" s="63"/>
    </row>
    <row r="76" spans="2:2" ht="13.2">
      <c r="B76" s="63"/>
    </row>
    <row r="77" spans="2:2" ht="13.2">
      <c r="B77" s="63"/>
    </row>
    <row r="78" spans="2:2" ht="13.2">
      <c r="B78" s="63"/>
    </row>
  </sheetData>
  <sheetProtection password="EAD7" sheet="1" objects="1" scenarios="1"/>
  <mergeCells count="2">
    <mergeCell ref="G2:I2"/>
    <mergeCell ref="B6:I6"/>
  </mergeCells>
  <hyperlinks>
    <hyperlink ref="G2" location="Startseite!D7" display="zurück zur Startseite" xr:uid="{00000000-0004-0000-0200-000000000000}"/>
  </hyperlinks>
  <pageMargins left="0.7" right="0.7" top="0.78740157499999996" bottom="0.78740157499999996"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tabColor theme="0"/>
  </sheetPr>
  <dimension ref="A1:BL87"/>
  <sheetViews>
    <sheetView showGridLines="0" zoomScale="90" zoomScaleNormal="90" workbookViewId="0">
      <selection activeCell="H2" sqref="H2:J2"/>
    </sheetView>
  </sheetViews>
  <sheetFormatPr baseColWidth="10" defaultColWidth="6.5546875" defaultRowHeight="13.2"/>
  <cols>
    <col min="1" max="9" width="6.5546875" style="49" customWidth="1"/>
    <col min="10" max="10" width="6.33203125" style="49" customWidth="1"/>
    <col min="11" max="11" width="6.5546875" style="49"/>
    <col min="12" max="12" width="6.5546875" style="49" customWidth="1"/>
    <col min="13" max="16384" width="6.5546875" style="49"/>
  </cols>
  <sheetData>
    <row r="1" spans="1:64">
      <c r="A1" s="120"/>
      <c r="B1" s="120"/>
      <c r="C1" s="120"/>
      <c r="D1" s="120"/>
      <c r="E1" s="120"/>
      <c r="F1" s="120"/>
      <c r="G1" s="120"/>
      <c r="H1" s="120"/>
      <c r="I1" s="120"/>
      <c r="J1" s="120"/>
      <c r="K1" s="120"/>
      <c r="L1" s="120"/>
      <c r="M1" s="120"/>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48"/>
      <c r="BB1" s="48"/>
      <c r="BC1" s="48"/>
      <c r="BD1" s="48"/>
      <c r="BE1" s="48"/>
      <c r="BF1" s="48"/>
      <c r="BG1" s="48"/>
      <c r="BH1" s="48"/>
      <c r="BI1" s="48"/>
      <c r="BJ1" s="48"/>
      <c r="BK1" s="48"/>
      <c r="BL1" s="48"/>
    </row>
    <row r="2" spans="1:64">
      <c r="A2" s="120"/>
      <c r="B2" s="120"/>
      <c r="C2" s="120"/>
      <c r="D2" s="120"/>
      <c r="E2" s="120"/>
      <c r="F2" s="120"/>
      <c r="G2" s="896"/>
      <c r="H2" s="1059" t="s">
        <v>502</v>
      </c>
      <c r="I2" s="1060"/>
      <c r="J2" s="1061"/>
      <c r="K2" s="120"/>
      <c r="L2" s="120"/>
      <c r="M2" s="120"/>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48"/>
      <c r="BB2" s="48"/>
      <c r="BC2" s="48"/>
      <c r="BD2" s="48"/>
      <c r="BE2" s="48"/>
      <c r="BF2" s="48"/>
      <c r="BG2" s="48"/>
      <c r="BH2" s="48"/>
      <c r="BI2" s="48"/>
      <c r="BJ2" s="48"/>
      <c r="BK2" s="48"/>
      <c r="BL2" s="48"/>
    </row>
    <row r="3" spans="1:64">
      <c r="A3" s="120"/>
      <c r="B3" s="120"/>
      <c r="C3" s="120"/>
      <c r="D3" s="120"/>
      <c r="E3" s="120"/>
      <c r="F3" s="120"/>
      <c r="G3" s="120"/>
      <c r="H3" s="120"/>
      <c r="I3" s="120"/>
      <c r="J3" s="120"/>
      <c r="K3" s="120"/>
      <c r="L3" s="120"/>
      <c r="M3" s="120"/>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48"/>
      <c r="BB3" s="48"/>
      <c r="BC3" s="48"/>
      <c r="BD3" s="48"/>
      <c r="BE3" s="48"/>
      <c r="BF3" s="48"/>
      <c r="BG3" s="48"/>
      <c r="BH3" s="48"/>
      <c r="BI3" s="48"/>
      <c r="BJ3" s="48"/>
      <c r="BK3" s="48"/>
      <c r="BL3" s="48"/>
    </row>
    <row r="4" spans="1:64">
      <c r="A4" s="120"/>
      <c r="B4" s="120"/>
      <c r="C4" s="120"/>
      <c r="D4" s="120"/>
      <c r="E4" s="120"/>
      <c r="F4" s="120"/>
      <c r="G4" s="120"/>
      <c r="H4" s="120"/>
      <c r="I4" s="120"/>
      <c r="J4" s="120"/>
      <c r="K4" s="120"/>
      <c r="L4" s="120"/>
      <c r="M4" s="120"/>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48"/>
      <c r="BB4" s="48"/>
      <c r="BC4" s="48"/>
      <c r="BD4" s="48"/>
      <c r="BE4" s="48"/>
      <c r="BF4" s="48"/>
      <c r="BG4" s="48"/>
      <c r="BH4" s="48"/>
      <c r="BI4" s="48"/>
      <c r="BJ4" s="48"/>
      <c r="BK4" s="48"/>
      <c r="BL4" s="48"/>
    </row>
    <row r="5" spans="1:64" ht="9.75" customHeight="1">
      <c r="A5" s="120"/>
      <c r="B5" s="120"/>
      <c r="C5" s="120"/>
      <c r="D5" s="120"/>
      <c r="E5" s="120"/>
      <c r="F5" s="122"/>
      <c r="G5" s="123"/>
      <c r="H5" s="120"/>
      <c r="I5" s="120"/>
      <c r="J5" s="120"/>
      <c r="K5" s="120"/>
      <c r="L5" s="120"/>
      <c r="M5" s="120"/>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48"/>
      <c r="BB5" s="48"/>
      <c r="BC5" s="48"/>
      <c r="BD5" s="48"/>
      <c r="BE5" s="48"/>
      <c r="BF5" s="48"/>
      <c r="BG5" s="48"/>
      <c r="BH5" s="48"/>
      <c r="BI5" s="48"/>
      <c r="BJ5" s="48"/>
      <c r="BK5" s="48"/>
      <c r="BL5" s="48"/>
    </row>
    <row r="6" spans="1:64">
      <c r="A6" s="120"/>
      <c r="B6" s="120"/>
      <c r="C6" s="120"/>
      <c r="D6" s="120"/>
      <c r="E6" s="120"/>
      <c r="F6" s="120"/>
      <c r="G6" s="120"/>
      <c r="H6" s="120"/>
      <c r="I6" s="120"/>
      <c r="J6" s="120"/>
      <c r="K6" s="120"/>
      <c r="L6" s="120"/>
      <c r="M6" s="120"/>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48"/>
      <c r="BB6" s="48"/>
      <c r="BC6" s="48"/>
      <c r="BD6" s="48"/>
      <c r="BE6" s="48"/>
      <c r="BF6" s="48"/>
      <c r="BG6" s="48"/>
      <c r="BH6" s="48"/>
      <c r="BI6" s="48"/>
      <c r="BJ6" s="48"/>
      <c r="BK6" s="48"/>
      <c r="BL6" s="48"/>
    </row>
    <row r="7" spans="1:64">
      <c r="A7" s="120"/>
      <c r="B7" s="120"/>
      <c r="C7" s="120"/>
      <c r="D7" s="120"/>
      <c r="E7" s="120"/>
      <c r="F7" s="120"/>
      <c r="G7" s="120"/>
      <c r="H7" s="120"/>
      <c r="I7" s="120"/>
      <c r="J7" s="120"/>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48"/>
      <c r="BB7" s="48"/>
      <c r="BC7" s="48"/>
      <c r="BD7" s="48"/>
      <c r="BE7" s="48"/>
      <c r="BF7" s="48"/>
      <c r="BG7" s="48"/>
      <c r="BH7" s="48"/>
      <c r="BI7" s="48"/>
      <c r="BJ7" s="48"/>
      <c r="BK7" s="48"/>
      <c r="BL7" s="48"/>
    </row>
    <row r="8" spans="1:64">
      <c r="A8" s="120"/>
      <c r="B8" s="120"/>
      <c r="C8" s="120"/>
      <c r="D8" s="120"/>
      <c r="E8" s="120"/>
      <c r="F8" s="120"/>
      <c r="G8" s="120"/>
      <c r="H8" s="120"/>
      <c r="I8" s="120"/>
      <c r="J8" s="120"/>
      <c r="K8" s="120"/>
      <c r="L8" s="120"/>
      <c r="M8" s="120"/>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48"/>
      <c r="BB8" s="48"/>
      <c r="BC8" s="48"/>
      <c r="BD8" s="48"/>
      <c r="BE8" s="48"/>
      <c r="BF8" s="48"/>
      <c r="BG8" s="48"/>
      <c r="BH8" s="48"/>
      <c r="BI8" s="48"/>
      <c r="BJ8" s="48"/>
      <c r="BK8" s="48"/>
      <c r="BL8" s="48"/>
    </row>
    <row r="9" spans="1:64">
      <c r="A9" s="120"/>
      <c r="B9" s="120"/>
      <c r="C9" s="120"/>
      <c r="D9" s="120"/>
      <c r="E9" s="120"/>
      <c r="F9" s="120"/>
      <c r="G9" s="120"/>
      <c r="H9" s="120"/>
      <c r="I9" s="120"/>
      <c r="J9" s="120"/>
      <c r="K9" s="120"/>
      <c r="L9" s="120"/>
      <c r="M9" s="120"/>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48"/>
      <c r="BB9" s="48"/>
      <c r="BC9" s="48"/>
      <c r="BD9" s="48"/>
      <c r="BE9" s="48"/>
      <c r="BF9" s="48"/>
      <c r="BG9" s="48"/>
      <c r="BH9" s="48"/>
      <c r="BI9" s="48"/>
      <c r="BJ9" s="48"/>
      <c r="BK9" s="48"/>
      <c r="BL9" s="48"/>
    </row>
    <row r="10" spans="1:64">
      <c r="A10" s="120"/>
      <c r="B10" s="120"/>
      <c r="C10" s="120"/>
      <c r="D10" s="120"/>
      <c r="E10" s="120"/>
      <c r="F10" s="120"/>
      <c r="G10" s="120"/>
      <c r="H10" s="120"/>
      <c r="I10" s="120"/>
      <c r="J10" s="120"/>
      <c r="K10" s="120"/>
      <c r="L10" s="120"/>
      <c r="M10" s="120"/>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48"/>
      <c r="BB10" s="48"/>
      <c r="BC10" s="48"/>
      <c r="BD10" s="48"/>
      <c r="BE10" s="48"/>
      <c r="BF10" s="48"/>
      <c r="BG10" s="48"/>
      <c r="BH10" s="48"/>
      <c r="BI10" s="48"/>
      <c r="BJ10" s="48"/>
      <c r="BK10" s="48"/>
      <c r="BL10" s="48"/>
    </row>
    <row r="11" spans="1:64" ht="30">
      <c r="A11" s="1065" t="s">
        <v>281</v>
      </c>
      <c r="B11" s="1065"/>
      <c r="C11" s="1065"/>
      <c r="D11" s="1065"/>
      <c r="E11" s="1065"/>
      <c r="F11" s="1065"/>
      <c r="G11" s="1065"/>
      <c r="H11" s="1065"/>
      <c r="I11" s="1065"/>
      <c r="J11" s="1065"/>
      <c r="K11" s="1065"/>
      <c r="L11" s="1065"/>
      <c r="M11" s="1065"/>
      <c r="N11" s="121"/>
      <c r="O11" s="121"/>
      <c r="P11" s="121"/>
      <c r="Q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48"/>
      <c r="BB11" s="48"/>
      <c r="BC11" s="48"/>
      <c r="BD11" s="48"/>
      <c r="BE11" s="48"/>
      <c r="BF11" s="48"/>
      <c r="BG11" s="48"/>
      <c r="BH11" s="48"/>
      <c r="BI11" s="48"/>
      <c r="BJ11" s="48"/>
      <c r="BK11" s="48"/>
      <c r="BL11" s="48"/>
    </row>
    <row r="12" spans="1:64">
      <c r="A12" s="120"/>
      <c r="B12" s="120"/>
      <c r="C12" s="120"/>
      <c r="D12" s="120"/>
      <c r="E12" s="120"/>
      <c r="F12" s="120"/>
      <c r="G12" s="120"/>
      <c r="H12" s="120"/>
      <c r="I12" s="120"/>
      <c r="J12" s="120"/>
      <c r="K12" s="120"/>
      <c r="L12" s="120"/>
      <c r="M12" s="120"/>
      <c r="N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48"/>
      <c r="BB12" s="48"/>
      <c r="BC12" s="48"/>
      <c r="BD12" s="48"/>
      <c r="BE12" s="48"/>
      <c r="BF12" s="48"/>
      <c r="BG12" s="48"/>
      <c r="BH12" s="48"/>
      <c r="BI12" s="48"/>
      <c r="BJ12" s="48"/>
      <c r="BK12" s="48"/>
      <c r="BL12" s="48"/>
    </row>
    <row r="13" spans="1:64" ht="15">
      <c r="A13" s="1066" t="s">
        <v>175</v>
      </c>
      <c r="B13" s="1066"/>
      <c r="C13" s="1066"/>
      <c r="D13" s="1066"/>
      <c r="E13" s="1066"/>
      <c r="F13" s="1066"/>
      <c r="G13" s="1066"/>
      <c r="H13" s="1066"/>
      <c r="I13" s="1066"/>
      <c r="J13" s="1066"/>
      <c r="K13" s="1066"/>
      <c r="L13" s="1066"/>
      <c r="M13" s="1066"/>
      <c r="N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48"/>
      <c r="BB13" s="48"/>
      <c r="BC13" s="48"/>
      <c r="BD13" s="48"/>
      <c r="BE13" s="48"/>
      <c r="BF13" s="48"/>
      <c r="BG13" s="48"/>
      <c r="BH13" s="48"/>
      <c r="BI13" s="48"/>
      <c r="BJ13" s="48"/>
      <c r="BK13" s="48"/>
      <c r="BL13" s="48"/>
    </row>
    <row r="14" spans="1:64">
      <c r="A14" s="120"/>
      <c r="B14" s="120"/>
      <c r="C14" s="120"/>
      <c r="D14" s="120"/>
      <c r="E14" s="120"/>
      <c r="F14" s="120"/>
      <c r="G14" s="120"/>
      <c r="H14" s="120"/>
      <c r="I14" s="120"/>
      <c r="J14" s="120"/>
      <c r="K14" s="120"/>
      <c r="L14" s="120"/>
      <c r="M14" s="120"/>
      <c r="N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48"/>
      <c r="BB14" s="48"/>
      <c r="BC14" s="48"/>
      <c r="BD14" s="48"/>
      <c r="BE14" s="48"/>
      <c r="BF14" s="48"/>
      <c r="BG14" s="48"/>
      <c r="BH14" s="48"/>
      <c r="BI14" s="48"/>
      <c r="BJ14" s="48"/>
      <c r="BK14" s="48"/>
      <c r="BL14" s="48"/>
    </row>
    <row r="15" spans="1:64">
      <c r="A15" s="120"/>
      <c r="B15" s="120"/>
      <c r="C15" s="120"/>
      <c r="D15" s="120"/>
      <c r="E15" s="120"/>
      <c r="F15" s="120"/>
      <c r="G15" s="120"/>
      <c r="H15" s="120"/>
      <c r="I15" s="120"/>
      <c r="J15" s="120"/>
      <c r="K15" s="120"/>
      <c r="L15" s="120"/>
      <c r="M15" s="120"/>
      <c r="N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48"/>
      <c r="BB15" s="48"/>
      <c r="BC15" s="48"/>
      <c r="BD15" s="48"/>
      <c r="BE15" s="48"/>
      <c r="BF15" s="48"/>
      <c r="BG15" s="48"/>
      <c r="BH15" s="48"/>
      <c r="BI15" s="48"/>
      <c r="BJ15" s="48"/>
      <c r="BK15" s="48"/>
      <c r="BL15" s="48"/>
    </row>
    <row r="16" spans="1:64">
      <c r="A16" s="120"/>
      <c r="B16" s="120"/>
      <c r="C16" s="120"/>
      <c r="D16" s="120"/>
      <c r="E16" s="120"/>
      <c r="F16" s="120"/>
      <c r="G16" s="120"/>
      <c r="H16" s="120"/>
      <c r="I16" s="120"/>
      <c r="J16" s="120"/>
      <c r="K16" s="120"/>
      <c r="L16" s="120"/>
      <c r="M16" s="120"/>
      <c r="N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48"/>
      <c r="BB16" s="48"/>
      <c r="BC16" s="48"/>
      <c r="BD16" s="48"/>
      <c r="BE16" s="48"/>
      <c r="BF16" s="48"/>
      <c r="BG16" s="48"/>
      <c r="BH16" s="48"/>
      <c r="BI16" s="48"/>
      <c r="BJ16" s="48"/>
      <c r="BK16" s="48"/>
      <c r="BL16" s="48"/>
    </row>
    <row r="17" spans="1:64" ht="17.399999999999999">
      <c r="A17" s="1063">
        <f>Startseite!C7</f>
        <v>0</v>
      </c>
      <c r="B17" s="1063"/>
      <c r="C17" s="1063"/>
      <c r="D17" s="1063"/>
      <c r="E17" s="1063"/>
      <c r="F17" s="1063"/>
      <c r="G17" s="1063"/>
      <c r="H17" s="1063"/>
      <c r="I17" s="1063"/>
      <c r="J17" s="1063"/>
      <c r="K17" s="1063"/>
      <c r="L17" s="1063"/>
      <c r="M17" s="1063"/>
      <c r="N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48"/>
      <c r="BB17" s="48"/>
      <c r="BC17" s="48"/>
      <c r="BD17" s="48"/>
      <c r="BE17" s="48"/>
      <c r="BF17" s="48"/>
      <c r="BG17" s="48"/>
      <c r="BH17" s="48"/>
      <c r="BI17" s="48"/>
      <c r="BJ17" s="48"/>
      <c r="BK17" s="48"/>
      <c r="BL17" s="48"/>
    </row>
    <row r="18" spans="1:64" ht="17.399999999999999">
      <c r="A18" s="1063">
        <f>Startseite!C8</f>
        <v>0</v>
      </c>
      <c r="B18" s="1063"/>
      <c r="C18" s="1063"/>
      <c r="D18" s="1063"/>
      <c r="E18" s="1063"/>
      <c r="F18" s="1063"/>
      <c r="G18" s="1063"/>
      <c r="H18" s="1063"/>
      <c r="I18" s="1063"/>
      <c r="J18" s="1063"/>
      <c r="K18" s="1063"/>
      <c r="L18" s="1063"/>
      <c r="M18" s="1063"/>
      <c r="N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48"/>
      <c r="BB18" s="48"/>
      <c r="BC18" s="48"/>
      <c r="BD18" s="48"/>
      <c r="BE18" s="48"/>
      <c r="BF18" s="48"/>
      <c r="BG18" s="48"/>
      <c r="BH18" s="48"/>
      <c r="BI18" s="48"/>
      <c r="BJ18" s="48"/>
      <c r="BK18" s="48"/>
      <c r="BL18" s="48"/>
    </row>
    <row r="19" spans="1:64" ht="17.399999999999999">
      <c r="A19" s="1063" t="str">
        <f>Startseite!C9&amp; " " &amp; Startseite!C10</f>
        <v xml:space="preserve"> </v>
      </c>
      <c r="B19" s="1063"/>
      <c r="C19" s="1063"/>
      <c r="D19" s="1063"/>
      <c r="E19" s="1063"/>
      <c r="F19" s="1063"/>
      <c r="G19" s="1063"/>
      <c r="H19" s="1063"/>
      <c r="I19" s="1063"/>
      <c r="J19" s="1063"/>
      <c r="K19" s="1063"/>
      <c r="L19" s="1063"/>
      <c r="M19" s="1063"/>
      <c r="N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48"/>
      <c r="BB19" s="48"/>
      <c r="BC19" s="48"/>
      <c r="BD19" s="48"/>
      <c r="BE19" s="48"/>
      <c r="BF19" s="48"/>
      <c r="BG19" s="48"/>
      <c r="BH19" s="48"/>
      <c r="BI19" s="48"/>
      <c r="BJ19" s="48"/>
      <c r="BK19" s="48"/>
      <c r="BL19" s="48"/>
    </row>
    <row r="20" spans="1:64" ht="17.399999999999999">
      <c r="A20" s="50"/>
      <c r="B20" s="50"/>
      <c r="C20" s="50"/>
      <c r="D20" s="50"/>
      <c r="E20" s="50"/>
      <c r="F20" s="50"/>
      <c r="G20" s="51"/>
      <c r="H20" s="51"/>
      <c r="I20" s="51"/>
      <c r="J20" s="51"/>
      <c r="K20" s="51"/>
      <c r="L20" s="51"/>
      <c r="M20" s="51"/>
      <c r="N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48"/>
      <c r="BB20" s="48"/>
      <c r="BC20" s="48"/>
      <c r="BD20" s="48"/>
      <c r="BE20" s="48"/>
      <c r="BF20" s="48"/>
      <c r="BG20" s="48"/>
      <c r="BH20" s="48"/>
      <c r="BI20" s="48"/>
      <c r="BJ20" s="48"/>
      <c r="BK20" s="48"/>
      <c r="BL20" s="48"/>
    </row>
    <row r="21" spans="1:64" ht="17.399999999999999">
      <c r="A21" s="1063"/>
      <c r="B21" s="1063"/>
      <c r="C21" s="1063"/>
      <c r="D21" s="1063"/>
      <c r="E21" s="1063"/>
      <c r="F21" s="1063"/>
      <c r="G21" s="1063"/>
      <c r="H21" s="1063"/>
      <c r="I21" s="1063"/>
      <c r="J21" s="1063"/>
      <c r="K21" s="1063"/>
      <c r="L21" s="1063"/>
      <c r="M21" s="1063"/>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48"/>
      <c r="BB21" s="48"/>
      <c r="BC21" s="48"/>
      <c r="BD21" s="48"/>
      <c r="BE21" s="48"/>
      <c r="BF21" s="48"/>
      <c r="BG21" s="48"/>
      <c r="BH21" s="48"/>
      <c r="BI21" s="48"/>
      <c r="BJ21" s="48"/>
      <c r="BK21" s="48"/>
      <c r="BL21" s="48"/>
    </row>
    <row r="22" spans="1:64" ht="15">
      <c r="A22" s="1066" t="s">
        <v>174</v>
      </c>
      <c r="B22" s="1066"/>
      <c r="C22" s="1066"/>
      <c r="D22" s="1066"/>
      <c r="E22" s="1066"/>
      <c r="F22" s="1066"/>
      <c r="G22" s="1066"/>
      <c r="H22" s="1066"/>
      <c r="I22" s="1066"/>
      <c r="J22" s="1066"/>
      <c r="K22" s="1066"/>
      <c r="L22" s="1066"/>
      <c r="M22" s="1066"/>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48"/>
      <c r="BB22" s="48"/>
      <c r="BC22" s="48"/>
      <c r="BD22" s="48"/>
      <c r="BE22" s="48"/>
      <c r="BF22" s="48"/>
      <c r="BG22" s="48"/>
      <c r="BH22" s="48"/>
      <c r="BI22" s="48"/>
      <c r="BJ22" s="48"/>
      <c r="BK22" s="48"/>
      <c r="BL22" s="48"/>
    </row>
    <row r="23" spans="1:64" ht="17.399999999999999">
      <c r="A23" s="1064">
        <f>Startseite!C11</f>
        <v>0</v>
      </c>
      <c r="B23" s="1063"/>
      <c r="C23" s="1063"/>
      <c r="D23" s="1063"/>
      <c r="E23" s="1063"/>
      <c r="F23" s="1063"/>
      <c r="G23" s="1063">
        <f>Startseite!C11</f>
        <v>0</v>
      </c>
      <c r="H23" s="1063"/>
      <c r="I23" s="1063"/>
      <c r="J23" s="1063"/>
      <c r="K23" s="1063"/>
      <c r="L23" s="1063"/>
      <c r="M23" s="1063"/>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48"/>
      <c r="BB23" s="48"/>
      <c r="BC23" s="48"/>
      <c r="BD23" s="48"/>
      <c r="BE23" s="48"/>
      <c r="BF23" s="48"/>
      <c r="BG23" s="48"/>
      <c r="BH23" s="48"/>
      <c r="BI23" s="48"/>
      <c r="BJ23" s="48"/>
      <c r="BK23" s="48"/>
      <c r="BL23" s="48"/>
    </row>
    <row r="24" spans="1:64" ht="15">
      <c r="A24" s="124"/>
      <c r="B24" s="124"/>
      <c r="C24" s="124"/>
      <c r="D24" s="124"/>
      <c r="E24" s="124"/>
      <c r="F24" s="124"/>
      <c r="G24" s="124"/>
      <c r="H24" s="124"/>
      <c r="I24" s="124"/>
      <c r="J24" s="124"/>
      <c r="K24" s="124"/>
      <c r="L24" s="124"/>
      <c r="M24" s="124"/>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48"/>
      <c r="BB24" s="48"/>
      <c r="BC24" s="48"/>
      <c r="BD24" s="48"/>
      <c r="BE24" s="48"/>
      <c r="BF24" s="48"/>
      <c r="BG24" s="48"/>
      <c r="BH24" s="48"/>
      <c r="BI24" s="48"/>
      <c r="BJ24" s="48"/>
      <c r="BK24" s="48"/>
      <c r="BL24" s="48"/>
    </row>
    <row r="25" spans="1:64" ht="15">
      <c r="A25" s="124"/>
      <c r="B25" s="124"/>
      <c r="C25" s="124"/>
      <c r="D25" s="124"/>
      <c r="E25" s="124"/>
      <c r="F25" s="124"/>
      <c r="G25" s="124" t="s">
        <v>407</v>
      </c>
      <c r="H25" s="124"/>
      <c r="I25" s="124"/>
      <c r="J25" s="124"/>
      <c r="K25" s="124"/>
      <c r="L25" s="124"/>
      <c r="M25" s="124"/>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48"/>
      <c r="BB25" s="48"/>
      <c r="BC25" s="48"/>
      <c r="BD25" s="48"/>
      <c r="BE25" s="48"/>
      <c r="BF25" s="48"/>
      <c r="BG25" s="48"/>
      <c r="BH25" s="48"/>
      <c r="BI25" s="48"/>
      <c r="BJ25" s="48"/>
      <c r="BK25" s="48"/>
      <c r="BL25" s="48"/>
    </row>
    <row r="26" spans="1:64" ht="17.399999999999999">
      <c r="A26" s="1064">
        <f>Startseite!C12</f>
        <v>0</v>
      </c>
      <c r="B26" s="1063"/>
      <c r="C26" s="1063"/>
      <c r="D26" s="1063"/>
      <c r="E26" s="1063"/>
      <c r="F26" s="1063"/>
      <c r="G26" s="1063"/>
      <c r="H26" s="1063"/>
      <c r="I26" s="1063"/>
      <c r="J26" s="1063"/>
      <c r="K26" s="1063"/>
      <c r="L26" s="1063"/>
      <c r="M26" s="1063"/>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48"/>
      <c r="BB26" s="48"/>
      <c r="BC26" s="48"/>
      <c r="BD26" s="48"/>
      <c r="BE26" s="48"/>
      <c r="BF26" s="48"/>
      <c r="BG26" s="48"/>
      <c r="BH26" s="48"/>
      <c r="BI26" s="48"/>
      <c r="BJ26" s="48"/>
      <c r="BK26" s="48"/>
      <c r="BL26" s="48"/>
    </row>
    <row r="27" spans="1:64" ht="15.6">
      <c r="A27" s="124"/>
      <c r="B27" s="124"/>
      <c r="C27" s="124"/>
      <c r="D27" s="124"/>
      <c r="E27" s="124"/>
      <c r="F27" s="124"/>
      <c r="G27" s="125"/>
      <c r="H27" s="124"/>
      <c r="I27" s="124"/>
      <c r="J27" s="124"/>
      <c r="K27" s="124"/>
      <c r="L27" s="124"/>
      <c r="M27" s="124"/>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48"/>
      <c r="BB27" s="48"/>
      <c r="BC27" s="48"/>
      <c r="BD27" s="48"/>
      <c r="BE27" s="48"/>
      <c r="BF27" s="48"/>
      <c r="BG27" s="48"/>
      <c r="BH27" s="48"/>
      <c r="BI27" s="48"/>
      <c r="BJ27" s="48"/>
      <c r="BK27" s="48"/>
      <c r="BL27" s="48"/>
    </row>
    <row r="28" spans="1:64" ht="15">
      <c r="A28" s="126"/>
      <c r="B28" s="126"/>
      <c r="C28" s="126"/>
      <c r="D28" s="126"/>
      <c r="E28" s="126"/>
      <c r="F28" s="126"/>
      <c r="G28" s="126"/>
      <c r="H28" s="126"/>
      <c r="I28" s="126"/>
      <c r="J28" s="126"/>
      <c r="K28" s="126"/>
      <c r="L28" s="126"/>
      <c r="M28" s="126"/>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48"/>
      <c r="BB28" s="48"/>
      <c r="BC28" s="48"/>
      <c r="BD28" s="48"/>
      <c r="BE28" s="48"/>
      <c r="BF28" s="48"/>
      <c r="BG28" s="48"/>
      <c r="BH28" s="48"/>
      <c r="BI28" s="48"/>
      <c r="BJ28" s="48"/>
      <c r="BK28" s="48"/>
      <c r="BL28" s="48"/>
    </row>
    <row r="29" spans="1:64" ht="15">
      <c r="A29" s="1066" t="s">
        <v>381</v>
      </c>
      <c r="B29" s="1066"/>
      <c r="C29" s="1066"/>
      <c r="D29" s="1066"/>
      <c r="E29" s="1066"/>
      <c r="F29" s="1066"/>
      <c r="G29" s="1066"/>
      <c r="H29" s="1066"/>
      <c r="I29" s="1066"/>
      <c r="J29" s="1066"/>
      <c r="K29" s="1066"/>
      <c r="L29" s="1066"/>
      <c r="M29" s="1066"/>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48"/>
      <c r="BB29" s="48"/>
      <c r="BC29" s="48"/>
      <c r="BD29" s="48"/>
      <c r="BE29" s="48"/>
      <c r="BF29" s="48"/>
      <c r="BG29" s="48"/>
      <c r="BH29" s="48"/>
      <c r="BI29" s="48"/>
      <c r="BJ29" s="48"/>
      <c r="BK29" s="48"/>
      <c r="BL29" s="48"/>
    </row>
    <row r="30" spans="1:64" ht="17.399999999999999">
      <c r="A30" s="1063">
        <f>Startseite!C14</f>
        <v>0</v>
      </c>
      <c r="B30" s="1063"/>
      <c r="C30" s="1063"/>
      <c r="D30" s="1063"/>
      <c r="E30" s="1063"/>
      <c r="F30" s="1063"/>
      <c r="G30" s="1063"/>
      <c r="H30" s="1063"/>
      <c r="I30" s="1063"/>
      <c r="J30" s="1063"/>
      <c r="K30" s="1063"/>
      <c r="L30" s="1063"/>
      <c r="M30" s="1063"/>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48"/>
      <c r="BB30" s="48"/>
      <c r="BC30" s="48"/>
      <c r="BD30" s="48"/>
      <c r="BE30" s="48"/>
      <c r="BF30" s="48"/>
      <c r="BG30" s="48"/>
      <c r="BH30" s="48"/>
      <c r="BI30" s="48"/>
      <c r="BJ30" s="48"/>
      <c r="BK30" s="48"/>
      <c r="BL30" s="48"/>
    </row>
    <row r="31" spans="1:64" ht="17.399999999999999">
      <c r="A31" s="62"/>
      <c r="B31" s="62"/>
      <c r="C31" s="62"/>
      <c r="D31" s="62"/>
      <c r="E31" s="62"/>
      <c r="F31" s="62"/>
      <c r="G31" s="62"/>
      <c r="H31" s="62"/>
      <c r="I31" s="62"/>
      <c r="J31" s="62"/>
      <c r="K31" s="62"/>
      <c r="L31" s="62"/>
      <c r="M31" s="62"/>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48"/>
      <c r="BB31" s="48"/>
      <c r="BC31" s="48"/>
      <c r="BD31" s="48"/>
      <c r="BE31" s="48"/>
      <c r="BF31" s="48"/>
      <c r="BG31" s="48"/>
      <c r="BH31" s="48"/>
      <c r="BI31" s="48"/>
      <c r="BJ31" s="48"/>
      <c r="BK31" s="48"/>
      <c r="BL31" s="48"/>
    </row>
    <row r="32" spans="1:64" ht="15">
      <c r="A32" s="126"/>
      <c r="B32" s="126"/>
      <c r="C32" s="126"/>
      <c r="D32" s="126"/>
      <c r="E32" s="126"/>
      <c r="F32" s="126"/>
      <c r="G32" s="126"/>
      <c r="H32" s="126"/>
      <c r="I32" s="126"/>
      <c r="J32" s="126"/>
      <c r="K32" s="126"/>
      <c r="L32" s="126"/>
      <c r="M32" s="126"/>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48"/>
      <c r="BB32" s="48"/>
      <c r="BC32" s="48"/>
      <c r="BD32" s="48"/>
      <c r="BE32" s="48"/>
      <c r="BF32" s="48"/>
      <c r="BG32" s="48"/>
      <c r="BH32" s="48"/>
      <c r="BI32" s="48"/>
      <c r="BJ32" s="48"/>
      <c r="BK32" s="48"/>
      <c r="BL32" s="48"/>
    </row>
    <row r="33" spans="1:64" ht="15">
      <c r="A33" s="1066" t="s">
        <v>176</v>
      </c>
      <c r="B33" s="1066"/>
      <c r="C33" s="1066"/>
      <c r="D33" s="1066"/>
      <c r="E33" s="1066"/>
      <c r="F33" s="1066"/>
      <c r="G33" s="1066"/>
      <c r="H33" s="1066"/>
      <c r="I33" s="1066"/>
      <c r="J33" s="1066"/>
      <c r="K33" s="1066"/>
      <c r="L33" s="1066"/>
      <c r="M33" s="1066"/>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48"/>
      <c r="BB33" s="48"/>
      <c r="BC33" s="48"/>
      <c r="BD33" s="48"/>
      <c r="BE33" s="48"/>
      <c r="BF33" s="48"/>
      <c r="BG33" s="48"/>
      <c r="BH33" s="48"/>
      <c r="BI33" s="48"/>
      <c r="BJ33" s="48"/>
      <c r="BK33" s="48"/>
      <c r="BL33" s="48"/>
    </row>
    <row r="34" spans="1:64" ht="17.399999999999999">
      <c r="A34" s="1063">
        <f>Startseite!C13</f>
        <v>0</v>
      </c>
      <c r="B34" s="1063"/>
      <c r="C34" s="1063"/>
      <c r="D34" s="1063"/>
      <c r="E34" s="1063"/>
      <c r="F34" s="1063"/>
      <c r="G34" s="1063"/>
      <c r="H34" s="1063"/>
      <c r="I34" s="1063"/>
      <c r="J34" s="1063"/>
      <c r="K34" s="1063"/>
      <c r="L34" s="1063"/>
      <c r="M34" s="1063"/>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48"/>
      <c r="BB34" s="48"/>
      <c r="BC34" s="48"/>
      <c r="BD34" s="48"/>
      <c r="BE34" s="48"/>
      <c r="BF34" s="48"/>
      <c r="BG34" s="48"/>
      <c r="BH34" s="48"/>
      <c r="BI34" s="48"/>
      <c r="BJ34" s="48"/>
      <c r="BK34" s="48"/>
      <c r="BL34" s="48"/>
    </row>
    <row r="35" spans="1:64" ht="17.399999999999999">
      <c r="A35" s="62"/>
      <c r="B35" s="62"/>
      <c r="C35" s="62"/>
      <c r="D35" s="62"/>
      <c r="E35" s="62"/>
      <c r="F35" s="62"/>
      <c r="G35" s="62"/>
      <c r="H35" s="62"/>
      <c r="I35" s="62"/>
      <c r="J35" s="62"/>
      <c r="K35" s="62"/>
      <c r="L35" s="62"/>
      <c r="M35" s="62"/>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48"/>
      <c r="BB35" s="48"/>
      <c r="BC35" s="48"/>
      <c r="BD35" s="48"/>
      <c r="BE35" s="48"/>
      <c r="BF35" s="48"/>
      <c r="BG35" s="48"/>
      <c r="BH35" s="48"/>
      <c r="BI35" s="48"/>
      <c r="BJ35" s="48"/>
      <c r="BK35" s="48"/>
      <c r="BL35" s="48"/>
    </row>
    <row r="36" spans="1:64" ht="15">
      <c r="A36" s="126"/>
      <c r="B36" s="126"/>
      <c r="C36" s="126"/>
      <c r="D36" s="126"/>
      <c r="E36" s="126"/>
      <c r="F36" s="126"/>
      <c r="G36" s="126"/>
      <c r="H36" s="126"/>
      <c r="I36" s="126"/>
      <c r="J36" s="126"/>
      <c r="K36" s="126"/>
      <c r="L36" s="126"/>
      <c r="M36" s="126"/>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48"/>
      <c r="BB36" s="48"/>
      <c r="BC36" s="48"/>
      <c r="BD36" s="48"/>
      <c r="BE36" s="48"/>
      <c r="BF36" s="48"/>
      <c r="BG36" s="48"/>
      <c r="BH36" s="48"/>
      <c r="BI36" s="48"/>
      <c r="BJ36" s="48"/>
      <c r="BK36" s="48"/>
      <c r="BL36" s="48"/>
    </row>
    <row r="37" spans="1:64" ht="15">
      <c r="A37" s="1066" t="s">
        <v>173</v>
      </c>
      <c r="B37" s="1066"/>
      <c r="C37" s="1066"/>
      <c r="D37" s="1066"/>
      <c r="E37" s="1066"/>
      <c r="F37" s="1066"/>
      <c r="G37" s="1066"/>
      <c r="H37" s="1066"/>
      <c r="I37" s="1066"/>
      <c r="J37" s="1066"/>
      <c r="K37" s="1066"/>
      <c r="L37" s="1066"/>
      <c r="M37" s="1066"/>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48"/>
      <c r="BB37" s="48"/>
      <c r="BC37" s="48"/>
      <c r="BD37" s="48"/>
      <c r="BE37" s="48"/>
      <c r="BF37" s="48"/>
      <c r="BG37" s="48"/>
      <c r="BH37" s="48"/>
      <c r="BI37" s="48"/>
      <c r="BJ37" s="48"/>
      <c r="BK37" s="48"/>
      <c r="BL37" s="48"/>
    </row>
    <row r="38" spans="1:64" ht="17.399999999999999">
      <c r="A38" s="1068" t="str">
        <f>IF(Startseite!A50=1,Startseite!A39,IF(Startseite!A50=2,Startseite!A40,IF(Startseite!A50=3,Startseite!A41,IF(Startseite!A50=4,Startseite!A42,IF(Startseite!A50=5,Startseite!A43,"")))))</f>
        <v>Einzelunternehmen</v>
      </c>
      <c r="B38" s="1068"/>
      <c r="C38" s="1068"/>
      <c r="D38" s="1068"/>
      <c r="E38" s="1068"/>
      <c r="F38" s="1068"/>
      <c r="G38" s="1068"/>
      <c r="H38" s="1068"/>
      <c r="I38" s="1068"/>
      <c r="J38" s="1068"/>
      <c r="K38" s="1068"/>
      <c r="L38" s="1068"/>
      <c r="M38" s="1068"/>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48"/>
      <c r="BB38" s="48"/>
      <c r="BC38" s="48"/>
      <c r="BD38" s="48"/>
      <c r="BE38" s="48"/>
      <c r="BF38" s="48"/>
      <c r="BG38" s="48"/>
      <c r="BH38" s="48"/>
      <c r="BI38" s="48"/>
      <c r="BJ38" s="48"/>
      <c r="BK38" s="48"/>
      <c r="BL38" s="48"/>
    </row>
    <row r="39" spans="1:64" ht="17.399999999999999">
      <c r="A39" s="1068" t="str">
        <f>IF(Startseite!A50=6,Startseite!A44,IF(Startseite!A50=7,Startseite!A45,IF(Startseite!A50=8,Startseite!A46,IF(Startseite!A50=9,Startseite!A47,IF(Startseite!A50=10,Startseite!A48,"")))))</f>
        <v/>
      </c>
      <c r="B39" s="1068"/>
      <c r="C39" s="1068"/>
      <c r="D39" s="1068"/>
      <c r="E39" s="1068"/>
      <c r="F39" s="1068"/>
      <c r="G39" s="1068"/>
      <c r="H39" s="1068"/>
      <c r="I39" s="1068"/>
      <c r="J39" s="1068"/>
      <c r="K39" s="1068"/>
      <c r="L39" s="1068"/>
      <c r="M39" s="1068"/>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48"/>
      <c r="BB39" s="48"/>
      <c r="BC39" s="48"/>
      <c r="BD39" s="48"/>
      <c r="BE39" s="48"/>
      <c r="BF39" s="48"/>
      <c r="BG39" s="48"/>
      <c r="BH39" s="48"/>
      <c r="BI39" s="48"/>
      <c r="BJ39" s="48"/>
      <c r="BK39" s="48"/>
      <c r="BL39" s="48"/>
    </row>
    <row r="40" spans="1:64">
      <c r="A40" s="120"/>
      <c r="B40" s="120"/>
      <c r="C40" s="120"/>
      <c r="D40" s="120"/>
      <c r="E40" s="120"/>
      <c r="F40" s="120"/>
      <c r="G40" s="120"/>
      <c r="H40" s="120"/>
      <c r="I40" s="120"/>
      <c r="J40" s="120"/>
      <c r="K40" s="120"/>
      <c r="L40" s="120"/>
      <c r="M40" s="120"/>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48"/>
      <c r="BB40" s="48"/>
      <c r="BC40" s="48"/>
      <c r="BD40" s="48"/>
      <c r="BE40" s="48"/>
      <c r="BF40" s="48"/>
      <c r="BG40" s="48"/>
      <c r="BH40" s="48"/>
      <c r="BI40" s="48"/>
      <c r="BJ40" s="48"/>
      <c r="BK40" s="48"/>
      <c r="BL40" s="48"/>
    </row>
    <row r="41" spans="1:64">
      <c r="A41" s="120"/>
      <c r="B41" s="120"/>
      <c r="C41" s="120"/>
      <c r="D41" s="120"/>
      <c r="E41" s="120"/>
      <c r="F41" s="120"/>
      <c r="G41" s="120"/>
      <c r="H41" s="120"/>
      <c r="I41" s="120"/>
      <c r="J41" s="120"/>
      <c r="K41" s="120"/>
      <c r="L41" s="120"/>
      <c r="M41" s="120"/>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48"/>
      <c r="BB41" s="48"/>
      <c r="BC41" s="48"/>
      <c r="BD41" s="48"/>
      <c r="BE41" s="48"/>
      <c r="BF41" s="48"/>
      <c r="BG41" s="48"/>
      <c r="BH41" s="48"/>
      <c r="BI41" s="48"/>
      <c r="BJ41" s="48"/>
      <c r="BK41" s="48"/>
      <c r="BL41" s="48"/>
    </row>
    <row r="42" spans="1:64">
      <c r="A42" s="120"/>
      <c r="B42" s="120"/>
      <c r="C42" s="120"/>
      <c r="D42" s="120"/>
      <c r="E42" s="120"/>
      <c r="F42" s="120"/>
      <c r="G42" s="120"/>
      <c r="H42" s="120"/>
      <c r="I42" s="120"/>
      <c r="J42" s="120"/>
      <c r="K42" s="120"/>
      <c r="L42" s="120"/>
      <c r="M42" s="120"/>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48"/>
      <c r="BB42" s="48"/>
      <c r="BC42" s="48"/>
      <c r="BD42" s="48"/>
      <c r="BE42" s="48"/>
      <c r="BF42" s="48"/>
      <c r="BG42" s="48"/>
      <c r="BH42" s="48"/>
      <c r="BI42" s="48"/>
      <c r="BJ42" s="48"/>
      <c r="BK42" s="48"/>
      <c r="BL42" s="48"/>
    </row>
    <row r="43" spans="1:64">
      <c r="A43" s="120"/>
      <c r="B43" s="120"/>
      <c r="C43" s="120"/>
      <c r="D43" s="120"/>
      <c r="E43" s="120"/>
      <c r="F43" s="120"/>
      <c r="G43" s="120"/>
      <c r="H43" s="120"/>
      <c r="I43" s="120"/>
      <c r="J43" s="120"/>
      <c r="K43" s="120"/>
      <c r="L43" s="120"/>
      <c r="M43" s="120"/>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48"/>
      <c r="BB43" s="48"/>
      <c r="BC43" s="48"/>
      <c r="BD43" s="48"/>
      <c r="BE43" s="48"/>
      <c r="BF43" s="48"/>
      <c r="BG43" s="48"/>
      <c r="BH43" s="48"/>
      <c r="BI43" s="48"/>
      <c r="BJ43" s="48"/>
      <c r="BK43" s="48"/>
      <c r="BL43" s="48"/>
    </row>
    <row r="44" spans="1:64">
      <c r="A44" s="120"/>
      <c r="B44" s="120"/>
      <c r="C44" s="120"/>
      <c r="D44" s="120"/>
      <c r="E44" s="120"/>
      <c r="F44" s="120"/>
      <c r="G44" s="120"/>
      <c r="H44" s="120"/>
      <c r="I44" s="120"/>
      <c r="J44" s="120"/>
      <c r="K44" s="120"/>
      <c r="L44" s="120"/>
      <c r="M44" s="120"/>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48"/>
      <c r="BB44" s="48"/>
      <c r="BC44" s="48"/>
      <c r="BD44" s="48"/>
      <c r="BE44" s="48"/>
      <c r="BF44" s="48"/>
      <c r="BG44" s="48"/>
      <c r="BH44" s="48"/>
      <c r="BI44" s="48"/>
      <c r="BJ44" s="48"/>
      <c r="BK44" s="48"/>
      <c r="BL44" s="48"/>
    </row>
    <row r="45" spans="1:64">
      <c r="A45" s="120"/>
      <c r="B45" s="120"/>
      <c r="C45" s="120"/>
      <c r="D45" s="120"/>
      <c r="E45" s="120"/>
      <c r="F45" s="120"/>
      <c r="G45" s="120"/>
      <c r="H45" s="120"/>
      <c r="I45" s="120"/>
      <c r="J45" s="120"/>
      <c r="K45" s="120"/>
      <c r="L45" s="120"/>
      <c r="M45" s="120"/>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48"/>
      <c r="BB45" s="48"/>
      <c r="BC45" s="48"/>
      <c r="BD45" s="48"/>
      <c r="BE45" s="48"/>
      <c r="BF45" s="48"/>
      <c r="BG45" s="48"/>
      <c r="BH45" s="48"/>
      <c r="BI45" s="48"/>
      <c r="BJ45" s="48"/>
      <c r="BK45" s="48"/>
      <c r="BL45" s="48"/>
    </row>
    <row r="46" spans="1:64">
      <c r="A46" s="120"/>
      <c r="B46" s="120"/>
      <c r="C46" s="120"/>
      <c r="D46" s="120"/>
      <c r="E46" s="120"/>
      <c r="F46" s="120"/>
      <c r="G46" s="120"/>
      <c r="H46" s="1067" t="str">
        <f ca="1">TEXT(TODAY(),"TT.MM.JJ")</f>
        <v>30.10.24</v>
      </c>
      <c r="I46" s="1067"/>
      <c r="J46" s="1067"/>
      <c r="K46" s="1067"/>
      <c r="L46" s="120"/>
      <c r="M46" s="120"/>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48"/>
      <c r="BB46" s="48"/>
      <c r="BC46" s="48"/>
      <c r="BD46" s="48"/>
      <c r="BE46" s="48"/>
      <c r="BF46" s="48"/>
      <c r="BG46" s="48"/>
      <c r="BH46" s="48"/>
      <c r="BI46" s="48"/>
      <c r="BJ46" s="48"/>
      <c r="BK46" s="48"/>
      <c r="BL46" s="48"/>
    </row>
    <row r="47" spans="1:64">
      <c r="A47" s="120"/>
      <c r="B47" s="120"/>
      <c r="C47" s="120"/>
      <c r="D47" s="120"/>
      <c r="E47" s="120"/>
      <c r="F47" s="120"/>
      <c r="G47" s="120"/>
      <c r="H47" s="120"/>
      <c r="I47" s="120"/>
      <c r="J47" s="120"/>
      <c r="K47" s="120"/>
      <c r="L47" s="120"/>
      <c r="M47" s="120"/>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48"/>
      <c r="BB47" s="48"/>
      <c r="BC47" s="48"/>
      <c r="BD47" s="48"/>
      <c r="BE47" s="48"/>
      <c r="BF47" s="48"/>
      <c r="BG47" s="48"/>
      <c r="BH47" s="48"/>
      <c r="BI47" s="48"/>
      <c r="BJ47" s="48"/>
      <c r="BK47" s="48"/>
      <c r="BL47" s="48"/>
    </row>
    <row r="48" spans="1:64">
      <c r="A48" s="120"/>
      <c r="B48" s="120"/>
      <c r="C48" s="120"/>
      <c r="D48" s="120"/>
      <c r="E48" s="120"/>
      <c r="F48" s="120"/>
      <c r="G48" s="120"/>
      <c r="H48" s="120"/>
      <c r="I48" s="120"/>
      <c r="J48" s="120"/>
      <c r="K48" s="120"/>
      <c r="L48" s="120"/>
      <c r="M48" s="120"/>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48"/>
      <c r="BB48" s="48"/>
      <c r="BC48" s="48"/>
      <c r="BD48" s="48"/>
      <c r="BE48" s="48"/>
      <c r="BF48" s="48"/>
      <c r="BG48" s="48"/>
      <c r="BH48" s="48"/>
      <c r="BI48" s="48"/>
      <c r="BJ48" s="48"/>
      <c r="BK48" s="48"/>
      <c r="BL48" s="48"/>
    </row>
    <row r="49" spans="1:64">
      <c r="A49" s="120"/>
      <c r="B49" s="120"/>
      <c r="C49" s="120"/>
      <c r="D49" s="120"/>
      <c r="E49" s="120"/>
      <c r="F49" s="120"/>
      <c r="G49" s="120"/>
      <c r="H49" s="120"/>
      <c r="I49" s="120"/>
      <c r="J49" s="120"/>
      <c r="K49" s="120"/>
      <c r="L49" s="120"/>
      <c r="M49" s="120"/>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48"/>
      <c r="BB49" s="48"/>
      <c r="BC49" s="48"/>
      <c r="BD49" s="48"/>
      <c r="BE49" s="48"/>
      <c r="BF49" s="48"/>
      <c r="BG49" s="48"/>
      <c r="BH49" s="48"/>
      <c r="BI49" s="48"/>
      <c r="BJ49" s="48"/>
      <c r="BK49" s="48"/>
      <c r="BL49" s="48"/>
    </row>
    <row r="50" spans="1:64">
      <c r="A50" s="120"/>
      <c r="B50" s="120"/>
      <c r="C50" s="120"/>
      <c r="D50" s="120"/>
      <c r="E50" s="120"/>
      <c r="F50" s="120"/>
      <c r="G50" s="120"/>
      <c r="H50" s="120"/>
      <c r="I50" s="120"/>
      <c r="J50" s="120"/>
      <c r="K50" s="120"/>
      <c r="L50" s="120"/>
      <c r="M50" s="120"/>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48"/>
      <c r="BB50" s="48"/>
      <c r="BC50" s="48"/>
      <c r="BD50" s="48"/>
      <c r="BE50" s="48"/>
      <c r="BF50" s="48"/>
      <c r="BG50" s="48"/>
      <c r="BH50" s="48"/>
      <c r="BI50" s="48"/>
      <c r="BJ50" s="48"/>
      <c r="BK50" s="48"/>
      <c r="BL50" s="48"/>
    </row>
    <row r="51" spans="1:64">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row>
    <row r="52" spans="1:64">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row>
    <row r="53" spans="1:64">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row>
    <row r="54" spans="1:64">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row>
    <row r="55" spans="1:64">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row>
    <row r="56" spans="1:64">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row>
    <row r="57" spans="1:64">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row>
    <row r="58" spans="1:64">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row>
    <row r="59" spans="1:64">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row>
    <row r="60" spans="1:64">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row>
    <row r="61" spans="1:64">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row>
    <row r="62" spans="1:64">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row>
    <row r="63" spans="1:64">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row>
    <row r="64" spans="1:64">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row>
    <row r="65" spans="1:5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row>
    <row r="66" spans="1:5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row>
    <row r="67" spans="1:5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row>
    <row r="68" spans="1:52">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row>
    <row r="69" spans="1:5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row>
    <row r="70" spans="1:52">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row>
    <row r="71" spans="1:52">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row>
    <row r="72" spans="1:5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row>
    <row r="73" spans="1:52">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row>
    <row r="74" spans="1:52">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row>
    <row r="75" spans="1:5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row>
    <row r="76" spans="1:52">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row>
    <row r="77" spans="1:5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row>
    <row r="78" spans="1:52">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row>
    <row r="79" spans="1:5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row>
    <row r="80" spans="1:52">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row>
    <row r="81" spans="1:5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row>
    <row r="82" spans="1:5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row>
    <row r="83" spans="1:5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row>
    <row r="84" spans="1:5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row>
    <row r="85" spans="1:52">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row>
    <row r="86" spans="1:52">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row>
    <row r="87" spans="1:52">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row>
  </sheetData>
  <sheetProtection password="EAD7" sheet="1" objects="1" scenarios="1"/>
  <mergeCells count="18">
    <mergeCell ref="H46:K46"/>
    <mergeCell ref="A22:M22"/>
    <mergeCell ref="A37:M37"/>
    <mergeCell ref="A38:M38"/>
    <mergeCell ref="A33:M33"/>
    <mergeCell ref="A34:M34"/>
    <mergeCell ref="A39:M39"/>
    <mergeCell ref="A29:M29"/>
    <mergeCell ref="A21:M21"/>
    <mergeCell ref="A19:M19"/>
    <mergeCell ref="H2:J2"/>
    <mergeCell ref="A30:M30"/>
    <mergeCell ref="A26:M26"/>
    <mergeCell ref="A23:M23"/>
    <mergeCell ref="A11:M11"/>
    <mergeCell ref="A13:M13"/>
    <mergeCell ref="A17:M17"/>
    <mergeCell ref="A18:M18"/>
  </mergeCells>
  <hyperlinks>
    <hyperlink ref="H2" location="Startseite!D7" display="zurück zur Startseite" xr:uid="{00000000-0004-0000-0300-000000000000}"/>
  </hyperlinks>
  <pageMargins left="0.78740157499999996" right="0.78740157499999996" top="0.984251969" bottom="0.984251969" header="0.4921259845" footer="0.4921259845"/>
  <pageSetup paperSize="9" scale="87" orientation="portrait" horizontalDpi="300" verticalDpi="300" r:id="rId1"/>
  <headerFooter alignWithMargins="0">
    <oddFooter>&amp;RCopyright: Handwerkskammer Düsseldorf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tabColor rgb="FFFFFFCC"/>
    <pageSetUpPr fitToPage="1"/>
  </sheetPr>
  <dimension ref="A1:W69"/>
  <sheetViews>
    <sheetView showGridLines="0" zoomScaleNormal="100" workbookViewId="0">
      <selection activeCell="L29" sqref="L29"/>
    </sheetView>
  </sheetViews>
  <sheetFormatPr baseColWidth="10" defaultColWidth="11.44140625" defaultRowHeight="13.2" outlineLevelCol="1"/>
  <cols>
    <col min="1" max="1" width="30.5546875" style="2" customWidth="1"/>
    <col min="2" max="2" width="11.88671875" style="2" customWidth="1"/>
    <col min="3" max="3" width="15.33203125" style="2" customWidth="1"/>
    <col min="4" max="4" width="15.88671875" style="2" customWidth="1"/>
    <col min="5" max="5" width="15.88671875" style="2" hidden="1" customWidth="1" outlineLevel="1"/>
    <col min="6" max="6" width="13.88671875" style="2" customWidth="1" collapsed="1"/>
    <col min="7" max="7" width="9.88671875" style="2" customWidth="1"/>
    <col min="8" max="8" width="14.33203125" style="2" customWidth="1"/>
    <col min="9" max="9" width="13" style="2" customWidth="1"/>
    <col min="10" max="10" width="13.5546875" style="2" customWidth="1"/>
    <col min="11" max="11" width="20" style="2" customWidth="1"/>
    <col min="12" max="16384" width="11.44140625" style="2"/>
  </cols>
  <sheetData>
    <row r="1" spans="1:23" ht="67.5" customHeight="1">
      <c r="D1" s="1077" t="s">
        <v>549</v>
      </c>
      <c r="E1" s="1078"/>
      <c r="F1" s="1079"/>
    </row>
    <row r="2" spans="1:23" ht="12.75" customHeight="1">
      <c r="D2" s="1014"/>
      <c r="E2" s="1015"/>
      <c r="F2" s="1015"/>
    </row>
    <row r="3" spans="1:23">
      <c r="H3" s="1059" t="s">
        <v>502</v>
      </c>
      <c r="I3" s="1061"/>
    </row>
    <row r="4" spans="1:23" ht="18" customHeight="1">
      <c r="A4" s="63"/>
      <c r="B4" s="63"/>
      <c r="C4" s="63"/>
      <c r="D4" s="64"/>
      <c r="E4" s="64"/>
      <c r="F4" s="63"/>
      <c r="G4" s="63"/>
      <c r="H4" s="63"/>
      <c r="I4" s="63"/>
      <c r="J4" s="63"/>
      <c r="K4" s="63"/>
      <c r="L4" s="63"/>
      <c r="M4" s="63"/>
      <c r="N4" s="63"/>
      <c r="O4" s="63"/>
      <c r="P4" s="63"/>
      <c r="Q4" s="63"/>
      <c r="R4" s="63"/>
      <c r="S4" s="63"/>
      <c r="T4" s="63"/>
      <c r="U4" s="63"/>
      <c r="V4" s="63"/>
      <c r="W4" s="63"/>
    </row>
    <row r="5" spans="1:23" ht="15.6">
      <c r="A5" s="65" t="str">
        <f>CONCATENATE("Kapitalbedarfsplan des Unternehmens: ",Startseite!C14)</f>
        <v xml:space="preserve">Kapitalbedarfsplan des Unternehmens: </v>
      </c>
      <c r="B5" s="65"/>
      <c r="C5" s="66"/>
      <c r="D5" s="67"/>
      <c r="E5" s="67"/>
      <c r="F5" s="63"/>
      <c r="G5" s="63"/>
      <c r="H5" s="63"/>
      <c r="L5" s="63"/>
      <c r="M5" s="63"/>
      <c r="N5" s="63"/>
      <c r="O5" s="63"/>
      <c r="P5" s="63"/>
      <c r="Q5" s="63"/>
      <c r="R5" s="63"/>
      <c r="S5" s="63"/>
      <c r="T5" s="63"/>
      <c r="U5" s="63"/>
      <c r="V5" s="63"/>
      <c r="W5" s="63"/>
    </row>
    <row r="6" spans="1:23" ht="17.399999999999999">
      <c r="A6" s="63"/>
      <c r="B6" s="63"/>
      <c r="C6" s="64"/>
      <c r="D6" s="68"/>
      <c r="E6" s="68"/>
      <c r="F6" s="63"/>
      <c r="G6" s="63"/>
      <c r="H6" s="69"/>
      <c r="I6" s="69"/>
      <c r="J6" s="63"/>
      <c r="K6" s="63"/>
      <c r="L6" s="63"/>
      <c r="M6" s="63"/>
      <c r="N6" s="63"/>
      <c r="O6" s="63"/>
      <c r="P6" s="63"/>
      <c r="Q6" s="63"/>
      <c r="R6" s="63"/>
      <c r="S6" s="63"/>
      <c r="T6" s="63"/>
      <c r="U6" s="63"/>
      <c r="V6" s="63"/>
      <c r="W6" s="63"/>
    </row>
    <row r="7" spans="1:23" ht="15.6">
      <c r="A7" s="1083"/>
      <c r="B7" s="1084"/>
      <c r="C7" s="1080" t="s">
        <v>269</v>
      </c>
      <c r="D7" s="1081"/>
      <c r="E7" s="1081"/>
      <c r="F7" s="1081"/>
      <c r="G7" s="1082"/>
      <c r="H7" s="71" t="s">
        <v>27</v>
      </c>
      <c r="I7" s="72" t="s">
        <v>194</v>
      </c>
      <c r="J7" s="63"/>
      <c r="K7" s="63"/>
      <c r="L7" s="63"/>
      <c r="M7" s="63"/>
      <c r="N7" s="63"/>
      <c r="O7" s="63"/>
      <c r="P7" s="63"/>
      <c r="Q7" s="63"/>
      <c r="R7" s="63"/>
      <c r="S7" s="63"/>
      <c r="T7" s="63"/>
      <c r="U7" s="63"/>
      <c r="V7" s="63"/>
      <c r="W7" s="63"/>
    </row>
    <row r="8" spans="1:23">
      <c r="A8" s="1085"/>
      <c r="B8" s="1086"/>
      <c r="C8" s="73" t="s">
        <v>29</v>
      </c>
      <c r="D8" s="73" t="s">
        <v>29</v>
      </c>
      <c r="E8" s="73" t="s">
        <v>29</v>
      </c>
      <c r="F8" s="74" t="s">
        <v>29</v>
      </c>
      <c r="G8" s="75" t="s">
        <v>1</v>
      </c>
      <c r="H8" s="76" t="s">
        <v>26</v>
      </c>
      <c r="I8" s="77" t="s">
        <v>195</v>
      </c>
      <c r="J8" s="63"/>
      <c r="K8" s="63"/>
      <c r="L8" s="63"/>
      <c r="M8" s="63"/>
      <c r="N8" s="63"/>
      <c r="O8" s="63"/>
      <c r="P8" s="63"/>
      <c r="Q8" s="63"/>
      <c r="R8" s="63"/>
      <c r="S8" s="63"/>
      <c r="T8" s="63"/>
      <c r="U8" s="63"/>
      <c r="V8" s="63"/>
      <c r="W8" s="63"/>
    </row>
    <row r="9" spans="1:23">
      <c r="A9" s="1073" t="s">
        <v>0</v>
      </c>
      <c r="B9" s="1074"/>
      <c r="C9" s="78" t="s">
        <v>225</v>
      </c>
      <c r="D9" s="78" t="s">
        <v>224</v>
      </c>
      <c r="E9" s="78" t="s">
        <v>548</v>
      </c>
      <c r="F9" s="79" t="s">
        <v>193</v>
      </c>
      <c r="G9" s="80"/>
      <c r="H9" s="81" t="s">
        <v>226</v>
      </c>
      <c r="I9" s="82" t="s">
        <v>29</v>
      </c>
      <c r="J9" s="63"/>
      <c r="K9" s="63"/>
      <c r="L9" s="63"/>
      <c r="M9" s="996"/>
      <c r="N9" s="63"/>
      <c r="O9" s="63"/>
      <c r="P9" s="63"/>
      <c r="Q9" s="63"/>
      <c r="R9" s="63"/>
      <c r="S9" s="63"/>
      <c r="T9" s="63"/>
      <c r="U9" s="63"/>
      <c r="V9" s="63"/>
      <c r="W9" s="63"/>
    </row>
    <row r="10" spans="1:23">
      <c r="A10" s="774"/>
      <c r="B10" s="376" t="str">
        <f>IF(A11="Unternehmenskauf","","Anteile")</f>
        <v/>
      </c>
      <c r="C10" s="83"/>
      <c r="D10" s="83"/>
      <c r="E10" s="83"/>
      <c r="F10" s="84"/>
      <c r="G10" s="85"/>
      <c r="H10" s="86"/>
      <c r="I10" s="87"/>
      <c r="J10" s="63"/>
      <c r="K10" s="63"/>
      <c r="L10" s="63"/>
      <c r="M10" s="63"/>
      <c r="N10" s="63"/>
      <c r="O10" s="63"/>
      <c r="P10" s="63"/>
      <c r="Q10" s="63"/>
      <c r="R10" s="63"/>
      <c r="S10" s="63"/>
      <c r="T10" s="63"/>
      <c r="U10" s="63"/>
      <c r="V10" s="63"/>
      <c r="W10" s="63"/>
    </row>
    <row r="11" spans="1:23">
      <c r="A11" s="88" t="str">
        <f>IF(OR(Startseite!A50=1,Startseite!A50=2,Startseite!A50=3),"Unternehmenskauf","Geschäftsanteile")</f>
        <v>Unternehmenskauf</v>
      </c>
      <c r="B11" s="843" t="str">
        <f>IF(A11="Unternehmenskauf","",100%)</f>
        <v/>
      </c>
      <c r="C11" s="89"/>
      <c r="D11" s="798"/>
      <c r="E11" s="798"/>
      <c r="F11" s="90">
        <f>IF(D11=0,0,D11)</f>
        <v>0</v>
      </c>
      <c r="G11" s="91" t="str">
        <f t="shared" ref="G11:G22" si="0">IF(F11=0,"",(F11*100)/F$36)</f>
        <v/>
      </c>
      <c r="H11" s="847">
        <v>10</v>
      </c>
      <c r="I11" s="808"/>
      <c r="J11" s="63"/>
      <c r="K11" s="63"/>
      <c r="L11" s="63"/>
      <c r="M11" s="63"/>
      <c r="N11" s="63"/>
      <c r="O11" s="63"/>
      <c r="P11" s="63"/>
      <c r="Q11" s="63"/>
      <c r="R11" s="63"/>
      <c r="S11" s="63"/>
      <c r="T11" s="63"/>
      <c r="U11" s="63"/>
      <c r="V11" s="63"/>
      <c r="W11" s="63"/>
    </row>
    <row r="12" spans="1:23">
      <c r="A12" s="1075" t="s">
        <v>72</v>
      </c>
      <c r="B12" s="1076"/>
      <c r="C12" s="93"/>
      <c r="D12" s="799"/>
      <c r="E12" s="799"/>
      <c r="F12" s="90">
        <f>IF(D12=0,0,D12)</f>
        <v>0</v>
      </c>
      <c r="G12" s="91" t="str">
        <f t="shared" si="0"/>
        <v/>
      </c>
      <c r="H12" s="847">
        <v>15</v>
      </c>
      <c r="I12" s="94">
        <f>IF(F12="",0,IF(H12=0,0,IF(H12="",0,F12/H12)))</f>
        <v>0</v>
      </c>
      <c r="J12" s="63"/>
      <c r="K12" s="63"/>
      <c r="L12" s="63"/>
      <c r="M12" s="63"/>
      <c r="N12" s="63"/>
      <c r="O12" s="63"/>
      <c r="P12" s="63"/>
      <c r="Q12" s="63"/>
      <c r="R12" s="63"/>
      <c r="S12" s="63"/>
      <c r="T12" s="63"/>
      <c r="U12" s="63"/>
      <c r="V12" s="63"/>
      <c r="W12" s="63"/>
    </row>
    <row r="13" spans="1:23">
      <c r="A13" s="1071" t="s">
        <v>30</v>
      </c>
      <c r="B13" s="1072"/>
      <c r="C13" s="798"/>
      <c r="D13" s="798"/>
      <c r="E13" s="798"/>
      <c r="F13" s="90">
        <f t="shared" ref="F13:F19" si="1">IF(C13+D13=0,0,C13+D13)</f>
        <v>0</v>
      </c>
      <c r="G13" s="91" t="str">
        <f t="shared" si="0"/>
        <v/>
      </c>
      <c r="H13" s="848">
        <v>0</v>
      </c>
      <c r="I13" s="96">
        <f>IF(F13="",0,IF(H13=0,0,IF(H13="",0,F13/H13)))</f>
        <v>0</v>
      </c>
      <c r="J13" s="63"/>
      <c r="K13" s="63"/>
      <c r="L13" s="63"/>
      <c r="M13" s="63"/>
      <c r="N13" s="63"/>
      <c r="O13" s="63"/>
      <c r="P13" s="63"/>
      <c r="Q13" s="63"/>
      <c r="R13" s="63"/>
      <c r="S13" s="63"/>
      <c r="T13" s="63"/>
      <c r="U13" s="63"/>
      <c r="V13" s="63"/>
      <c r="W13" s="63"/>
    </row>
    <row r="14" spans="1:23">
      <c r="A14" s="1071" t="s">
        <v>31</v>
      </c>
      <c r="B14" s="1072"/>
      <c r="C14" s="798"/>
      <c r="D14" s="798"/>
      <c r="E14" s="798"/>
      <c r="F14" s="90">
        <f t="shared" si="1"/>
        <v>0</v>
      </c>
      <c r="G14" s="91" t="str">
        <f t="shared" si="0"/>
        <v/>
      </c>
      <c r="H14" s="848">
        <v>33</v>
      </c>
      <c r="I14" s="96">
        <f>IF(F14="",0,IF(H14=0,0,IF(H14="",0,F14/H14)))</f>
        <v>0</v>
      </c>
      <c r="J14" s="63"/>
      <c r="K14" s="63"/>
      <c r="L14" s="997"/>
      <c r="M14" s="63"/>
      <c r="N14" s="63"/>
      <c r="O14" s="63"/>
      <c r="P14" s="63"/>
      <c r="Q14" s="63"/>
      <c r="R14" s="63"/>
      <c r="S14" s="63"/>
      <c r="T14" s="63"/>
      <c r="U14" s="63"/>
      <c r="V14" s="63"/>
      <c r="W14" s="63"/>
    </row>
    <row r="15" spans="1:23">
      <c r="A15" s="1071" t="s">
        <v>73</v>
      </c>
      <c r="B15" s="1072"/>
      <c r="C15" s="798"/>
      <c r="D15" s="798"/>
      <c r="E15" s="798"/>
      <c r="F15" s="90">
        <f t="shared" si="1"/>
        <v>0</v>
      </c>
      <c r="G15" s="91" t="str">
        <f t="shared" si="0"/>
        <v/>
      </c>
      <c r="H15" s="848">
        <v>10</v>
      </c>
      <c r="I15" s="96">
        <f t="shared" ref="I15:I21" si="2">IF(F15="",0,IF(H15=0,0,IF(H15="",0,F15/H15)))</f>
        <v>0</v>
      </c>
      <c r="J15" s="63"/>
      <c r="K15" s="63"/>
      <c r="L15" s="63"/>
      <c r="M15" s="63"/>
      <c r="N15" s="63"/>
      <c r="O15" s="63"/>
      <c r="P15" s="63"/>
      <c r="Q15" s="63"/>
      <c r="R15" s="63"/>
      <c r="S15" s="63"/>
      <c r="T15" s="63"/>
      <c r="U15" s="63"/>
      <c r="V15" s="63"/>
      <c r="W15" s="63"/>
    </row>
    <row r="16" spans="1:23">
      <c r="A16" s="1071" t="s">
        <v>74</v>
      </c>
      <c r="B16" s="1072"/>
      <c r="C16" s="798"/>
      <c r="D16" s="798"/>
      <c r="E16" s="798"/>
      <c r="F16" s="90">
        <f t="shared" si="1"/>
        <v>0</v>
      </c>
      <c r="G16" s="91" t="str">
        <f t="shared" si="0"/>
        <v/>
      </c>
      <c r="H16" s="848">
        <v>10</v>
      </c>
      <c r="I16" s="96">
        <f t="shared" si="2"/>
        <v>0</v>
      </c>
      <c r="J16" s="63"/>
      <c r="K16" s="63"/>
      <c r="L16" s="63"/>
      <c r="M16" s="63"/>
      <c r="N16" s="63"/>
      <c r="O16" s="63"/>
      <c r="P16" s="63"/>
      <c r="Q16" s="63"/>
      <c r="R16" s="63"/>
      <c r="S16" s="63"/>
      <c r="T16" s="63"/>
      <c r="U16" s="63"/>
      <c r="V16" s="63"/>
      <c r="W16" s="63"/>
    </row>
    <row r="17" spans="1:23">
      <c r="A17" s="1071" t="s">
        <v>78</v>
      </c>
      <c r="B17" s="1072"/>
      <c r="C17" s="798"/>
      <c r="D17" s="798"/>
      <c r="E17" s="798"/>
      <c r="F17" s="90">
        <f t="shared" si="1"/>
        <v>0</v>
      </c>
      <c r="G17" s="91" t="str">
        <f t="shared" si="0"/>
        <v/>
      </c>
      <c r="H17" s="848">
        <v>6</v>
      </c>
      <c r="I17" s="96">
        <f t="shared" si="2"/>
        <v>0</v>
      </c>
      <c r="J17" s="63"/>
      <c r="K17" s="63"/>
      <c r="L17" s="63"/>
      <c r="M17" s="63"/>
      <c r="N17" s="63"/>
      <c r="O17" s="63"/>
      <c r="P17" s="63"/>
      <c r="Q17" s="63"/>
      <c r="R17" s="63"/>
      <c r="S17" s="63"/>
      <c r="T17" s="63"/>
      <c r="U17" s="63"/>
      <c r="V17" s="63"/>
      <c r="W17" s="63"/>
    </row>
    <row r="18" spans="1:23">
      <c r="A18" s="1071" t="s">
        <v>32</v>
      </c>
      <c r="B18" s="1072"/>
      <c r="C18" s="798"/>
      <c r="D18" s="798"/>
      <c r="E18" s="798"/>
      <c r="F18" s="90">
        <f>IF(C18+D18=0,0,C18+D18)</f>
        <v>0</v>
      </c>
      <c r="G18" s="91" t="str">
        <f t="shared" si="0"/>
        <v/>
      </c>
      <c r="H18" s="848">
        <v>3</v>
      </c>
      <c r="I18" s="96">
        <f t="shared" si="2"/>
        <v>0</v>
      </c>
      <c r="J18" s="63"/>
      <c r="K18" s="63"/>
      <c r="L18" s="63"/>
      <c r="M18" s="63"/>
      <c r="N18" s="63"/>
      <c r="O18" s="63"/>
      <c r="P18" s="63"/>
      <c r="Q18" s="63"/>
      <c r="R18" s="63"/>
      <c r="S18" s="63"/>
      <c r="T18" s="63"/>
      <c r="U18" s="63"/>
      <c r="V18" s="63"/>
      <c r="W18" s="63"/>
    </row>
    <row r="19" spans="1:23">
      <c r="A19" s="1071" t="s">
        <v>33</v>
      </c>
      <c r="B19" s="1072"/>
      <c r="C19" s="798"/>
      <c r="D19" s="798"/>
      <c r="E19" s="798"/>
      <c r="F19" s="90">
        <f t="shared" si="1"/>
        <v>0</v>
      </c>
      <c r="G19" s="91" t="str">
        <f t="shared" si="0"/>
        <v/>
      </c>
      <c r="H19" s="848">
        <v>8</v>
      </c>
      <c r="I19" s="96">
        <f t="shared" si="2"/>
        <v>0</v>
      </c>
      <c r="J19" s="63"/>
      <c r="K19" s="63"/>
      <c r="L19" s="63"/>
      <c r="M19" s="63"/>
      <c r="N19" s="63"/>
      <c r="O19" s="63"/>
      <c r="P19" s="63"/>
      <c r="Q19" s="63"/>
      <c r="R19" s="63"/>
      <c r="S19" s="63"/>
      <c r="T19" s="63"/>
      <c r="U19" s="63"/>
      <c r="V19" s="63"/>
      <c r="W19" s="63"/>
    </row>
    <row r="20" spans="1:23">
      <c r="A20" s="1071" t="s">
        <v>75</v>
      </c>
      <c r="B20" s="1072"/>
      <c r="C20" s="798"/>
      <c r="D20" s="798"/>
      <c r="E20" s="798"/>
      <c r="F20" s="90">
        <f>IF(C20+D20=0,0,C20+D20)</f>
        <v>0</v>
      </c>
      <c r="G20" s="91" t="str">
        <f t="shared" si="0"/>
        <v/>
      </c>
      <c r="H20" s="848">
        <v>0</v>
      </c>
      <c r="I20" s="96">
        <f t="shared" si="2"/>
        <v>0</v>
      </c>
      <c r="J20" s="63"/>
      <c r="K20" s="63"/>
      <c r="L20" s="63"/>
      <c r="M20" s="63"/>
      <c r="N20" s="63"/>
      <c r="O20" s="63"/>
      <c r="P20" s="63"/>
      <c r="Q20" s="63"/>
      <c r="R20" s="63"/>
      <c r="S20" s="63"/>
      <c r="T20" s="63"/>
      <c r="U20" s="63"/>
      <c r="V20" s="63"/>
      <c r="W20" s="63"/>
    </row>
    <row r="21" spans="1:23">
      <c r="A21" s="1069"/>
      <c r="B21" s="1070"/>
      <c r="C21" s="798"/>
      <c r="D21" s="798"/>
      <c r="E21" s="798"/>
      <c r="F21" s="90">
        <f>IF(C21+D21=0,0,C21+D21)</f>
        <v>0</v>
      </c>
      <c r="G21" s="91" t="str">
        <f t="shared" si="0"/>
        <v/>
      </c>
      <c r="H21" s="849">
        <v>0</v>
      </c>
      <c r="I21" s="394">
        <f t="shared" si="2"/>
        <v>0</v>
      </c>
      <c r="J21" s="63"/>
      <c r="K21" s="63"/>
      <c r="L21" s="63"/>
      <c r="M21" s="63"/>
      <c r="N21" s="63"/>
      <c r="O21" s="63"/>
      <c r="P21" s="63"/>
      <c r="Q21" s="63"/>
      <c r="R21" s="63"/>
      <c r="S21" s="63"/>
      <c r="T21" s="63"/>
      <c r="U21" s="63"/>
      <c r="V21" s="63"/>
      <c r="W21" s="63"/>
    </row>
    <row r="22" spans="1:23">
      <c r="A22" s="1091" t="s">
        <v>479</v>
      </c>
      <c r="B22" s="1092"/>
      <c r="C22" s="798"/>
      <c r="D22" s="798"/>
      <c r="E22" s="798"/>
      <c r="F22" s="90">
        <f>IF(C22+D22=0,0,C22+D22)</f>
        <v>0</v>
      </c>
      <c r="G22" s="85" t="str">
        <f t="shared" si="0"/>
        <v/>
      </c>
      <c r="H22" s="372"/>
      <c r="I22" s="364"/>
      <c r="J22" s="63"/>
      <c r="K22" s="63"/>
      <c r="L22" s="63"/>
      <c r="M22" s="63"/>
      <c r="N22" s="63"/>
      <c r="O22" s="63"/>
      <c r="P22" s="63"/>
      <c r="Q22" s="63"/>
      <c r="R22" s="63"/>
      <c r="S22" s="63"/>
      <c r="T22" s="63"/>
      <c r="U22" s="63"/>
      <c r="V22" s="63"/>
      <c r="W22" s="63"/>
    </row>
    <row r="23" spans="1:23">
      <c r="A23" s="1094"/>
      <c r="B23" s="1095"/>
      <c r="C23" s="97"/>
      <c r="D23" s="97"/>
      <c r="E23" s="97"/>
      <c r="F23" s="98"/>
      <c r="G23" s="783"/>
      <c r="H23" s="69"/>
      <c r="I23" s="833"/>
      <c r="J23" s="63"/>
      <c r="K23" s="63"/>
      <c r="L23" s="63"/>
      <c r="M23" s="63"/>
      <c r="N23" s="63"/>
      <c r="O23" s="63"/>
      <c r="P23" s="63"/>
      <c r="Q23" s="63"/>
      <c r="R23" s="63"/>
      <c r="S23" s="63"/>
      <c r="T23" s="63"/>
      <c r="U23" s="63"/>
      <c r="V23" s="63"/>
      <c r="W23" s="63"/>
    </row>
    <row r="24" spans="1:23" ht="14.4" thickBot="1">
      <c r="A24" s="1098" t="s">
        <v>3</v>
      </c>
      <c r="B24" s="1099"/>
      <c r="C24" s="99">
        <f>SUM(C13:C22)</f>
        <v>0</v>
      </c>
      <c r="D24" s="777">
        <f>SUM(D11:D22)</f>
        <v>0</v>
      </c>
      <c r="E24" s="777"/>
      <c r="F24" s="100">
        <f>SUM(F10:F22)</f>
        <v>0</v>
      </c>
      <c r="G24" s="101" t="str">
        <f>IF(F24=0,"",(F24*100)/F$36)</f>
        <v/>
      </c>
      <c r="H24" s="102"/>
      <c r="I24" s="103">
        <f>ROUND(SUM(I11:I21),-2)</f>
        <v>0</v>
      </c>
      <c r="J24" s="63"/>
      <c r="K24" s="63"/>
      <c r="L24" s="63"/>
      <c r="M24" s="63"/>
      <c r="N24" s="63"/>
      <c r="O24" s="63"/>
      <c r="P24" s="63"/>
      <c r="Q24" s="63"/>
      <c r="R24" s="63"/>
      <c r="S24" s="63"/>
      <c r="T24" s="63"/>
      <c r="U24" s="63"/>
      <c r="V24" s="63"/>
      <c r="W24" s="63"/>
    </row>
    <row r="25" spans="1:23" ht="13.8" thickTop="1">
      <c r="A25" s="1089"/>
      <c r="B25" s="1090"/>
      <c r="C25" s="63"/>
      <c r="D25" s="63"/>
      <c r="E25" s="63"/>
      <c r="F25" s="784"/>
      <c r="G25" s="785"/>
      <c r="H25" s="63"/>
      <c r="I25" s="63"/>
      <c r="J25" s="63"/>
      <c r="K25" s="63"/>
      <c r="L25" s="63"/>
      <c r="M25" s="63"/>
      <c r="N25" s="63"/>
      <c r="O25" s="63"/>
      <c r="P25" s="63"/>
      <c r="Q25" s="63"/>
      <c r="R25" s="63"/>
      <c r="S25" s="63"/>
      <c r="T25" s="63"/>
      <c r="U25" s="63"/>
      <c r="V25" s="63"/>
      <c r="W25" s="63"/>
    </row>
    <row r="26" spans="1:23">
      <c r="A26" s="1071" t="s">
        <v>25</v>
      </c>
      <c r="B26" s="1072"/>
      <c r="C26" s="798"/>
      <c r="D26" s="798"/>
      <c r="E26" s="998"/>
      <c r="F26" s="90">
        <f>IF(C26+D26=0,0,C26+D26)</f>
        <v>0</v>
      </c>
      <c r="G26" s="91" t="str">
        <f t="shared" ref="G26:G32" si="3">IF(F26=0,"",(F26*100)/F$36)</f>
        <v/>
      </c>
      <c r="H26" s="63"/>
      <c r="I26" s="63"/>
      <c r="J26" s="63"/>
      <c r="K26" s="63"/>
      <c r="L26" s="63"/>
      <c r="M26" s="63"/>
      <c r="N26" s="63"/>
      <c r="O26" s="63"/>
      <c r="P26" s="63"/>
      <c r="Q26" s="63"/>
      <c r="R26" s="63"/>
      <c r="S26" s="63"/>
      <c r="T26" s="63"/>
      <c r="U26" s="63"/>
      <c r="V26" s="63"/>
      <c r="W26" s="63"/>
    </row>
    <row r="27" spans="1:23">
      <c r="A27" s="1071" t="s">
        <v>89</v>
      </c>
      <c r="B27" s="1093"/>
      <c r="C27" s="1021"/>
      <c r="D27" s="798"/>
      <c r="E27" s="998"/>
      <c r="F27" s="90">
        <f>IF(D27=0,0,D27)</f>
        <v>0</v>
      </c>
      <c r="G27" s="91" t="str">
        <f t="shared" si="3"/>
        <v/>
      </c>
      <c r="H27" s="63"/>
      <c r="I27" s="63"/>
      <c r="J27" s="63"/>
      <c r="K27" s="63"/>
      <c r="L27" s="63"/>
      <c r="M27" s="63"/>
      <c r="N27" s="63"/>
      <c r="O27" s="63"/>
      <c r="P27" s="63"/>
      <c r="Q27" s="63"/>
      <c r="R27" s="63"/>
      <c r="S27" s="63"/>
      <c r="T27" s="63"/>
      <c r="U27" s="63"/>
      <c r="V27" s="63"/>
      <c r="W27" s="63"/>
    </row>
    <row r="28" spans="1:23">
      <c r="A28" s="1071" t="s">
        <v>34</v>
      </c>
      <c r="B28" s="1093"/>
      <c r="C28" s="357"/>
      <c r="D28" s="798"/>
      <c r="E28" s="998"/>
      <c r="F28" s="90">
        <f>IF(D28=0,0,D28)</f>
        <v>0</v>
      </c>
      <c r="G28" s="91" t="str">
        <f t="shared" si="3"/>
        <v/>
      </c>
      <c r="H28" s="63"/>
      <c r="I28" s="63"/>
      <c r="J28" s="63"/>
      <c r="K28" s="63"/>
      <c r="L28" s="63"/>
      <c r="M28" s="63"/>
      <c r="N28" s="63"/>
      <c r="O28" s="63"/>
      <c r="P28" s="63"/>
      <c r="Q28" s="63"/>
      <c r="R28" s="63"/>
      <c r="S28" s="63"/>
      <c r="T28" s="63"/>
      <c r="U28" s="63"/>
      <c r="V28" s="63"/>
      <c r="W28" s="63"/>
    </row>
    <row r="29" spans="1:23">
      <c r="A29" s="1102" t="s">
        <v>565</v>
      </c>
      <c r="B29" s="1103"/>
      <c r="C29" s="357"/>
      <c r="D29" s="998">
        <f>IF(A29="Keine Vorfinanzierung der Umsatzsteuer",0,(D24-SUM(E11:E22)+D26+D32)*0.19)</f>
        <v>0</v>
      </c>
      <c r="E29" s="998"/>
      <c r="F29" s="90">
        <f>IF(D29=0,0,D29)</f>
        <v>0</v>
      </c>
      <c r="G29" s="91"/>
      <c r="H29" s="63"/>
      <c r="I29" s="580"/>
      <c r="J29" s="63"/>
      <c r="K29" s="63"/>
      <c r="L29" s="63"/>
      <c r="M29" s="63"/>
      <c r="N29" s="63"/>
      <c r="O29" s="63"/>
      <c r="P29" s="63"/>
      <c r="Q29" s="63"/>
      <c r="R29" s="63"/>
      <c r="S29" s="63"/>
      <c r="T29" s="63"/>
      <c r="U29" s="63"/>
      <c r="V29" s="63"/>
      <c r="W29" s="63"/>
    </row>
    <row r="30" spans="1:23">
      <c r="A30" s="1071" t="s">
        <v>192</v>
      </c>
      <c r="B30" s="1093"/>
      <c r="C30" s="142"/>
      <c r="D30" s="84">
        <f>Finanzierung!J27</f>
        <v>0</v>
      </c>
      <c r="E30" s="998"/>
      <c r="F30" s="90">
        <f>IF(D30=0,0,D30)</f>
        <v>0</v>
      </c>
      <c r="G30" s="91" t="str">
        <f t="shared" si="3"/>
        <v/>
      </c>
      <c r="H30" s="63"/>
      <c r="I30" s="63"/>
      <c r="J30" s="63"/>
      <c r="K30" s="63"/>
      <c r="L30" s="63"/>
      <c r="M30" s="63"/>
      <c r="N30" s="63"/>
      <c r="O30" s="63"/>
      <c r="P30" s="63"/>
      <c r="Q30" s="63"/>
      <c r="R30" s="63"/>
      <c r="S30" s="63"/>
      <c r="T30" s="63"/>
      <c r="U30" s="63"/>
      <c r="V30" s="63"/>
      <c r="W30" s="63"/>
    </row>
    <row r="31" spans="1:23">
      <c r="A31" s="1091" t="s">
        <v>90</v>
      </c>
      <c r="B31" s="1092"/>
      <c r="C31" s="798"/>
      <c r="D31" s="798"/>
      <c r="E31" s="998"/>
      <c r="F31" s="90">
        <f>IF(C31+D31=0,0,C31+D31)</f>
        <v>0</v>
      </c>
      <c r="G31" s="91" t="str">
        <f t="shared" si="3"/>
        <v/>
      </c>
      <c r="H31" s="63"/>
      <c r="I31" s="63"/>
      <c r="J31" s="63"/>
      <c r="K31" s="63"/>
      <c r="L31" s="63"/>
      <c r="M31" s="63"/>
      <c r="N31" s="63"/>
      <c r="O31" s="63"/>
      <c r="P31" s="63"/>
      <c r="Q31" s="63"/>
      <c r="R31" s="63"/>
      <c r="S31" s="63"/>
      <c r="T31" s="63"/>
      <c r="U31" s="63"/>
      <c r="V31" s="63"/>
      <c r="W31" s="63"/>
    </row>
    <row r="32" spans="1:23">
      <c r="A32" s="1069" t="s">
        <v>84</v>
      </c>
      <c r="B32" s="1070"/>
      <c r="C32" s="798"/>
      <c r="D32" s="798"/>
      <c r="E32" s="998"/>
      <c r="F32" s="90">
        <f>IF(C32+D32=0,0,C32+D32)</f>
        <v>0</v>
      </c>
      <c r="G32" s="91" t="str">
        <f t="shared" si="3"/>
        <v/>
      </c>
      <c r="H32" s="63"/>
      <c r="I32" s="63"/>
      <c r="J32" s="63"/>
      <c r="K32" s="63"/>
      <c r="L32" s="63"/>
      <c r="M32" s="63"/>
      <c r="N32" s="63"/>
      <c r="O32" s="63"/>
      <c r="P32" s="63"/>
      <c r="Q32" s="63"/>
      <c r="R32" s="63"/>
      <c r="S32" s="63"/>
      <c r="T32" s="63"/>
      <c r="U32" s="63"/>
      <c r="V32" s="63"/>
      <c r="W32" s="63"/>
    </row>
    <row r="33" spans="1:23">
      <c r="A33" s="1100"/>
      <c r="B33" s="1101"/>
      <c r="C33" s="63"/>
      <c r="D33" s="63"/>
      <c r="E33" s="63"/>
      <c r="F33" s="786"/>
      <c r="G33" s="783"/>
      <c r="H33" s="63"/>
      <c r="I33" s="63"/>
      <c r="J33" s="63"/>
      <c r="K33" s="63"/>
      <c r="L33" s="63"/>
      <c r="M33" s="63"/>
      <c r="N33" s="63"/>
      <c r="O33" s="63"/>
      <c r="P33" s="63"/>
      <c r="Q33" s="63"/>
      <c r="R33" s="63"/>
      <c r="S33" s="63"/>
      <c r="T33" s="63"/>
      <c r="U33" s="63"/>
      <c r="V33" s="63"/>
      <c r="W33" s="63"/>
    </row>
    <row r="34" spans="1:23" ht="13.8">
      <c r="A34" s="1096" t="s">
        <v>86</v>
      </c>
      <c r="B34" s="1097"/>
      <c r="C34" s="787">
        <f>SUM(C26:C32)</f>
        <v>0</v>
      </c>
      <c r="D34" s="787">
        <f>SUM(D26:D32)</f>
        <v>0</v>
      </c>
      <c r="E34" s="787"/>
      <c r="F34" s="787">
        <f>SUM(F26:F32)</f>
        <v>0</v>
      </c>
      <c r="G34" s="788" t="str">
        <f>IF(F34=0,"",(F34*100)/F$36)</f>
        <v/>
      </c>
      <c r="H34" s="63"/>
      <c r="I34" s="63"/>
      <c r="J34" s="63"/>
      <c r="K34" s="63"/>
      <c r="L34" s="63"/>
      <c r="M34" s="63"/>
      <c r="N34" s="63"/>
      <c r="O34" s="63"/>
      <c r="P34" s="63"/>
      <c r="Q34" s="63"/>
      <c r="R34" s="63"/>
      <c r="S34" s="63"/>
      <c r="T34" s="63"/>
      <c r="U34" s="63"/>
      <c r="V34" s="63"/>
      <c r="W34" s="63"/>
    </row>
    <row r="35" spans="1:23" ht="14.4" thickBot="1">
      <c r="A35" s="782"/>
      <c r="B35" s="789"/>
      <c r="C35" s="790"/>
      <c r="D35" s="790"/>
      <c r="E35" s="790"/>
      <c r="F35" s="790"/>
      <c r="G35" s="791"/>
      <c r="H35" s="63"/>
      <c r="I35" s="63"/>
      <c r="J35" s="63"/>
      <c r="K35" s="63"/>
      <c r="L35" s="63"/>
      <c r="M35" s="63"/>
      <c r="N35" s="63"/>
      <c r="O35" s="63"/>
      <c r="P35" s="63"/>
      <c r="Q35" s="63"/>
      <c r="R35" s="63"/>
      <c r="S35" s="63"/>
      <c r="T35" s="63"/>
      <c r="U35" s="63"/>
      <c r="V35" s="63"/>
      <c r="W35" s="63"/>
    </row>
    <row r="36" spans="1:23" ht="16.8" thickTop="1" thickBot="1">
      <c r="A36" s="1087" t="s">
        <v>91</v>
      </c>
      <c r="B36" s="1088"/>
      <c r="C36" s="105">
        <f>(C24+C34)</f>
        <v>0</v>
      </c>
      <c r="D36" s="105">
        <f>(D24+D34)</f>
        <v>0</v>
      </c>
      <c r="E36" s="105"/>
      <c r="F36" s="105">
        <f>(F24+F34)</f>
        <v>0</v>
      </c>
      <c r="G36" s="106" t="str">
        <f>IF(F36=0,"",(F36*100)/F$36)</f>
        <v/>
      </c>
      <c r="H36" s="63"/>
      <c r="I36" s="63"/>
      <c r="J36" s="63"/>
      <c r="K36" s="63"/>
      <c r="L36" s="63"/>
      <c r="M36" s="63"/>
      <c r="N36" s="63"/>
      <c r="O36" s="63"/>
      <c r="P36" s="63"/>
      <c r="Q36" s="63"/>
      <c r="R36" s="63"/>
      <c r="S36" s="63"/>
      <c r="T36" s="63"/>
      <c r="U36" s="63"/>
      <c r="V36" s="63"/>
      <c r="W36" s="63"/>
    </row>
    <row r="37" spans="1:23" ht="13.8" thickTop="1">
      <c r="A37" s="63"/>
      <c r="B37" s="63"/>
      <c r="C37" s="63"/>
      <c r="D37" s="107"/>
      <c r="E37" s="107"/>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108"/>
      <c r="G38" s="109"/>
      <c r="H38" s="110"/>
      <c r="I38" s="63"/>
      <c r="J38" s="63"/>
      <c r="K38" s="63"/>
      <c r="L38" s="63"/>
      <c r="M38" s="63"/>
      <c r="N38" s="63"/>
      <c r="O38" s="63"/>
      <c r="P38" s="63"/>
      <c r="Q38" s="63"/>
      <c r="R38" s="63"/>
      <c r="S38" s="63"/>
      <c r="T38" s="63"/>
      <c r="U38" s="63"/>
      <c r="V38" s="63"/>
      <c r="W38" s="63"/>
    </row>
    <row r="39" spans="1:23">
      <c r="A39" s="63"/>
      <c r="B39" s="63"/>
      <c r="C39" s="63"/>
      <c r="D39" s="63"/>
      <c r="E39" s="63"/>
      <c r="F39" s="63"/>
      <c r="G39" s="63"/>
      <c r="H39" s="63"/>
      <c r="I39" s="63"/>
      <c r="J39" s="63"/>
      <c r="K39" s="63"/>
      <c r="L39" s="63"/>
      <c r="M39" s="63"/>
      <c r="N39" s="63"/>
      <c r="O39" s="63"/>
      <c r="P39" s="63"/>
      <c r="Q39" s="63"/>
      <c r="R39" s="63"/>
      <c r="S39" s="63"/>
      <c r="T39" s="63"/>
      <c r="U39" s="63"/>
      <c r="V39" s="63"/>
      <c r="W39" s="63"/>
    </row>
    <row r="40" spans="1:23">
      <c r="A40" s="971" t="s">
        <v>553</v>
      </c>
      <c r="B40" s="63"/>
      <c r="C40" s="63"/>
      <c r="D40" s="63"/>
      <c r="E40" s="63"/>
      <c r="F40" s="63"/>
      <c r="G40" s="63"/>
      <c r="H40" s="63"/>
      <c r="I40" s="63"/>
      <c r="J40" s="63"/>
      <c r="K40" s="63"/>
      <c r="L40" s="63"/>
      <c r="M40" s="63"/>
      <c r="N40" s="63"/>
      <c r="O40" s="63"/>
      <c r="P40" s="63"/>
      <c r="Q40" s="63"/>
      <c r="R40" s="63"/>
      <c r="S40" s="63"/>
      <c r="T40" s="63"/>
      <c r="U40" s="63"/>
      <c r="V40" s="63"/>
      <c r="W40" s="63"/>
    </row>
    <row r="41" spans="1:23">
      <c r="A41" s="971" t="s">
        <v>564</v>
      </c>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63"/>
      <c r="C43" s="63"/>
      <c r="D43" s="63"/>
      <c r="E43" s="63"/>
      <c r="F43" s="63"/>
      <c r="G43" s="63"/>
      <c r="H43" s="63"/>
      <c r="I43" s="63"/>
      <c r="J43" s="63"/>
      <c r="K43" s="63"/>
      <c r="L43" s="63"/>
      <c r="M43" s="63"/>
      <c r="N43" s="63"/>
      <c r="O43" s="63"/>
      <c r="P43" s="63"/>
      <c r="Q43" s="63"/>
      <c r="R43" s="63"/>
      <c r="S43" s="63"/>
      <c r="T43" s="63"/>
      <c r="U43" s="63"/>
      <c r="V43" s="63"/>
      <c r="W43" s="63"/>
    </row>
    <row r="44" spans="1:23">
      <c r="A44" s="63"/>
      <c r="B44" s="63"/>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63"/>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63"/>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sheetData>
  <sheetProtection password="EAD7" sheet="1" objects="1" scenarios="1"/>
  <mergeCells count="30">
    <mergeCell ref="A36:B36"/>
    <mergeCell ref="A25:B25"/>
    <mergeCell ref="A22:B22"/>
    <mergeCell ref="A26:B26"/>
    <mergeCell ref="A27:B27"/>
    <mergeCell ref="A23:B23"/>
    <mergeCell ref="A34:B34"/>
    <mergeCell ref="A30:B30"/>
    <mergeCell ref="A28:B28"/>
    <mergeCell ref="A24:B24"/>
    <mergeCell ref="A31:B31"/>
    <mergeCell ref="A32:B32"/>
    <mergeCell ref="A33:B33"/>
    <mergeCell ref="A29:B29"/>
    <mergeCell ref="D1:F1"/>
    <mergeCell ref="H3:I3"/>
    <mergeCell ref="C7:G7"/>
    <mergeCell ref="A7:B7"/>
    <mergeCell ref="A8:B8"/>
    <mergeCell ref="A21:B21"/>
    <mergeCell ref="A14:B14"/>
    <mergeCell ref="A15:B15"/>
    <mergeCell ref="A16:B16"/>
    <mergeCell ref="A9:B9"/>
    <mergeCell ref="A12:B12"/>
    <mergeCell ref="A13:B13"/>
    <mergeCell ref="A18:B18"/>
    <mergeCell ref="A19:B19"/>
    <mergeCell ref="A17:B17"/>
    <mergeCell ref="A20:B20"/>
  </mergeCells>
  <conditionalFormatting sqref="B11">
    <cfRule type="expression" dxfId="5" priority="1" stopIfTrue="1">
      <formula>$A$11="Unternehmenskauf"</formula>
    </cfRule>
    <cfRule type="expression" dxfId="4" priority="3" stopIfTrue="1">
      <formula>$A$11="Geschäftsanteile"</formula>
    </cfRule>
    <cfRule type="expression" dxfId="3" priority="4" stopIfTrue="1">
      <formula>$B$11=""</formula>
    </cfRule>
  </conditionalFormatting>
  <dataValidations count="1">
    <dataValidation type="list" showInputMessage="1" showErrorMessage="1" sqref="A29:B29" xr:uid="{00000000-0002-0000-0400-000000000000}">
      <formula1>$A$40:$A$41</formula1>
    </dataValidation>
  </dataValidations>
  <hyperlinks>
    <hyperlink ref="H3" location="Startseite!D7" display="zurück zur Startseite" xr:uid="{00000000-0004-0000-0400-000000000000}"/>
  </hyperlinks>
  <printOptions horizontalCentered="1"/>
  <pageMargins left="0.47244094488188981" right="0.39370078740157483" top="0.78740157480314965" bottom="0" header="0.51181102362204722" footer="0.51181102362204722"/>
  <pageSetup paperSize="9" firstPageNumber="6" orientation="landscape" useFirstPageNumber="1" horizontalDpi="1200" verticalDpi="1200" r:id="rId1"/>
  <headerFooter>
    <oddFooter>&amp;L&amp;D&amp;RCopyright: Handwerkskammer Düsseldorf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tabColor rgb="FFFFFFCC"/>
  </sheetPr>
  <dimension ref="A2:CD78"/>
  <sheetViews>
    <sheetView showGridLines="0" topLeftCell="A7" zoomScaleNormal="100" zoomScaleSheetLayoutView="82" workbookViewId="0">
      <selection activeCell="C34" sqref="C34"/>
    </sheetView>
  </sheetViews>
  <sheetFormatPr baseColWidth="10" defaultColWidth="11.44140625" defaultRowHeight="13.2"/>
  <cols>
    <col min="1" max="1" width="18.6640625" style="2" customWidth="1"/>
    <col min="2" max="2" width="24.5546875" style="2" customWidth="1"/>
    <col min="3" max="3" width="13.88671875" style="2" customWidth="1"/>
    <col min="4" max="4" width="10" style="2" customWidth="1"/>
    <col min="5" max="5" width="12.6640625" style="2" customWidth="1"/>
    <col min="6" max="6" width="9.109375" style="2" customWidth="1"/>
    <col min="7" max="7" width="10.88671875" style="2" customWidth="1"/>
    <col min="8" max="8" width="11.5546875" style="2" customWidth="1"/>
    <col min="9" max="9" width="11" style="2" customWidth="1"/>
    <col min="10" max="10" width="9" style="2" customWidth="1"/>
    <col min="11" max="16384" width="11.44140625" style="2"/>
  </cols>
  <sheetData>
    <row r="2" spans="1:82">
      <c r="I2" s="1059" t="s">
        <v>502</v>
      </c>
      <c r="J2" s="1061"/>
    </row>
    <row r="3" spans="1:82" ht="15.6">
      <c r="A3" s="65" t="str">
        <f>CONCATENATE("Finanzierungsplan des Unternehmens: ",Startseite!C14)</f>
        <v xml:space="preserve">Finanzierungsplan des Unternehmens: </v>
      </c>
      <c r="B3" s="68"/>
      <c r="C3" s="63"/>
      <c r="D3" s="63"/>
      <c r="E3" s="63"/>
      <c r="F3" s="63"/>
      <c r="G3" s="63"/>
      <c r="H3" s="63"/>
      <c r="I3" s="63"/>
      <c r="J3" s="63"/>
      <c r="M3" s="63"/>
      <c r="N3" s="63"/>
      <c r="O3" s="63"/>
      <c r="P3" s="63"/>
      <c r="Q3" s="63"/>
      <c r="R3" s="63"/>
      <c r="S3" s="63"/>
      <c r="T3" s="63"/>
      <c r="U3" s="63"/>
      <c r="V3" s="63"/>
      <c r="W3" s="63"/>
      <c r="X3" s="63"/>
      <c r="Y3" s="63"/>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row>
    <row r="4" spans="1:82">
      <c r="A4" s="63"/>
      <c r="B4" s="63"/>
      <c r="C4" s="63"/>
      <c r="D4" s="63"/>
      <c r="E4" s="63"/>
      <c r="F4" s="63"/>
      <c r="G4" s="63"/>
      <c r="H4" s="63"/>
      <c r="I4" s="63"/>
      <c r="J4" s="63"/>
      <c r="K4" s="1104"/>
      <c r="L4" s="1104"/>
      <c r="M4" s="63"/>
      <c r="N4" s="63"/>
      <c r="O4" s="63"/>
      <c r="P4" s="63"/>
      <c r="Q4" s="63"/>
      <c r="R4" s="63"/>
      <c r="S4" s="63"/>
      <c r="T4" s="63"/>
      <c r="U4" s="63"/>
      <c r="V4" s="63"/>
      <c r="W4" s="63"/>
      <c r="X4" s="63"/>
      <c r="Y4" s="63"/>
      <c r="BC4" s="5"/>
      <c r="BD4" s="6"/>
      <c r="BE4" s="5"/>
      <c r="BF4" s="5"/>
      <c r="BG4" s="5"/>
      <c r="BH4" s="5"/>
      <c r="BI4" s="6"/>
      <c r="BJ4" s="5"/>
      <c r="BK4" s="5"/>
      <c r="BL4" s="5"/>
      <c r="BM4" s="5"/>
      <c r="BN4" s="6"/>
      <c r="BO4" s="5"/>
      <c r="BP4" s="5"/>
      <c r="BQ4" s="5"/>
      <c r="BR4" s="5"/>
      <c r="BS4" s="6"/>
      <c r="BT4" s="5"/>
      <c r="BU4" s="5"/>
      <c r="BV4" s="5"/>
      <c r="BW4" s="5"/>
      <c r="BX4" s="5"/>
      <c r="BY4" s="5"/>
      <c r="BZ4" s="5"/>
      <c r="CA4" s="5"/>
      <c r="CB4" s="5"/>
      <c r="CC4" s="5"/>
      <c r="CD4" s="5"/>
    </row>
    <row r="5" spans="1:82">
      <c r="A5" s="127"/>
      <c r="B5" s="127"/>
      <c r="C5" s="128" t="s">
        <v>29</v>
      </c>
      <c r="D5" s="129" t="s">
        <v>1</v>
      </c>
      <c r="E5" s="63"/>
      <c r="F5" s="63"/>
      <c r="G5" s="63"/>
      <c r="H5" s="63"/>
      <c r="I5" s="63"/>
      <c r="J5" s="63"/>
      <c r="K5" s="63"/>
      <c r="L5" s="63"/>
      <c r="M5" s="63"/>
      <c r="N5" s="63"/>
      <c r="O5" s="63"/>
      <c r="P5" s="63"/>
      <c r="Q5" s="63"/>
      <c r="R5" s="63"/>
      <c r="S5" s="63"/>
      <c r="T5" s="63"/>
      <c r="U5" s="63"/>
      <c r="V5" s="63"/>
      <c r="W5" s="63"/>
      <c r="X5" s="63"/>
      <c r="Y5" s="63"/>
      <c r="BC5" s="5"/>
      <c r="BD5" s="8"/>
      <c r="BE5" s="5"/>
      <c r="BF5" s="5"/>
      <c r="BG5" s="5"/>
      <c r="BH5" s="5"/>
      <c r="BI5" s="8"/>
      <c r="BJ5" s="5"/>
      <c r="BK5" s="5"/>
      <c r="BL5" s="5"/>
      <c r="BM5" s="5"/>
      <c r="BN5" s="8"/>
      <c r="BO5" s="5"/>
      <c r="BP5" s="5"/>
      <c r="BQ5" s="5"/>
      <c r="BR5" s="5"/>
      <c r="BS5" s="8"/>
      <c r="BT5" s="5"/>
      <c r="BU5" s="5"/>
      <c r="BV5" s="5"/>
      <c r="BW5" s="5"/>
      <c r="BX5" s="5"/>
      <c r="BY5" s="5"/>
      <c r="BZ5" s="5"/>
      <c r="CA5" s="5"/>
      <c r="CB5" s="5"/>
      <c r="CC5" s="5"/>
      <c r="CD5" s="5"/>
    </row>
    <row r="6" spans="1:82" ht="15">
      <c r="A6" s="955" t="s">
        <v>87</v>
      </c>
      <c r="B6" s="440"/>
      <c r="C6" s="958">
        <f>ROUND(Kapitalbedarf!F36,0)</f>
        <v>0</v>
      </c>
      <c r="D6" s="959">
        <v>100</v>
      </c>
      <c r="E6" s="63"/>
      <c r="F6" s="63"/>
      <c r="G6" s="63"/>
      <c r="H6" s="63"/>
      <c r="I6" s="63"/>
      <c r="J6" s="63"/>
      <c r="K6" s="63"/>
      <c r="L6" s="63"/>
      <c r="M6" s="63"/>
      <c r="N6" s="63"/>
      <c r="O6" s="63"/>
      <c r="P6" s="63"/>
      <c r="Q6" s="63"/>
      <c r="R6" s="63"/>
      <c r="S6" s="63"/>
      <c r="T6" s="63"/>
      <c r="U6" s="63"/>
      <c r="V6" s="63"/>
      <c r="W6" s="63"/>
      <c r="X6" s="63"/>
      <c r="Y6" s="63"/>
      <c r="BC6" s="6"/>
      <c r="BD6" s="6"/>
      <c r="BE6" s="5"/>
      <c r="BF6" s="5"/>
      <c r="BG6" s="5"/>
      <c r="BH6" s="6"/>
      <c r="BI6" s="6"/>
      <c r="BJ6" s="5"/>
      <c r="BK6" s="5"/>
      <c r="BL6" s="5"/>
      <c r="BM6" s="6"/>
      <c r="BN6" s="6"/>
      <c r="BO6" s="5"/>
      <c r="BP6" s="5"/>
      <c r="BQ6" s="5"/>
      <c r="BR6" s="6"/>
      <c r="BS6" s="6"/>
      <c r="BT6" s="5"/>
      <c r="BU6" s="5"/>
      <c r="BV6" s="5"/>
      <c r="BW6" s="5"/>
      <c r="BX6" s="5"/>
      <c r="BY6" s="5"/>
      <c r="BZ6" s="5"/>
      <c r="CA6" s="5"/>
      <c r="CB6" s="5"/>
      <c r="CC6" s="5"/>
      <c r="CD6" s="5"/>
    </row>
    <row r="7" spans="1:82" ht="15.6">
      <c r="A7" s="952"/>
      <c r="B7" s="135"/>
      <c r="C7" s="953"/>
      <c r="D7" s="954"/>
      <c r="E7" s="63"/>
      <c r="F7" s="63"/>
      <c r="G7" s="63"/>
      <c r="H7" s="63"/>
      <c r="I7" s="63"/>
      <c r="J7" s="63"/>
      <c r="K7" s="63"/>
      <c r="L7" s="63"/>
      <c r="M7" s="63"/>
      <c r="N7" s="63"/>
      <c r="O7" s="63"/>
      <c r="P7" s="63"/>
      <c r="Q7" s="63"/>
      <c r="R7" s="63"/>
      <c r="S7" s="63"/>
      <c r="T7" s="63"/>
      <c r="U7" s="63"/>
      <c r="V7" s="63"/>
      <c r="W7" s="63"/>
      <c r="X7" s="63"/>
      <c r="Y7" s="63"/>
      <c r="BC7" s="6"/>
      <c r="BD7" s="6"/>
      <c r="BE7" s="5"/>
      <c r="BF7" s="5"/>
      <c r="BG7" s="5"/>
      <c r="BH7" s="6"/>
      <c r="BI7" s="6"/>
      <c r="BJ7" s="5"/>
      <c r="BK7" s="5"/>
      <c r="BL7" s="5"/>
      <c r="BM7" s="6"/>
      <c r="BN7" s="6"/>
      <c r="BO7" s="5"/>
      <c r="BP7" s="5"/>
      <c r="BQ7" s="5"/>
      <c r="BR7" s="6"/>
      <c r="BS7" s="6"/>
      <c r="BT7" s="5"/>
      <c r="BU7" s="5"/>
      <c r="BV7" s="5"/>
      <c r="BW7" s="5"/>
      <c r="BX7" s="5"/>
      <c r="BY7" s="5"/>
      <c r="BZ7" s="5"/>
      <c r="CA7" s="5"/>
      <c r="CB7" s="5"/>
      <c r="CC7" s="5"/>
      <c r="CD7" s="5"/>
    </row>
    <row r="8" spans="1:82">
      <c r="A8" s="132"/>
      <c r="B8" s="132"/>
      <c r="C8" s="133"/>
      <c r="D8" s="136"/>
      <c r="E8" s="63"/>
      <c r="F8" s="134"/>
      <c r="G8" s="63"/>
      <c r="H8" s="63"/>
      <c r="I8" s="63"/>
      <c r="J8" s="63"/>
      <c r="K8" s="63"/>
      <c r="L8" s="63"/>
      <c r="M8" s="63"/>
      <c r="N8" s="63"/>
      <c r="O8" s="63"/>
      <c r="P8" s="63"/>
      <c r="Q8" s="63"/>
      <c r="R8" s="63"/>
      <c r="S8" s="63"/>
      <c r="T8" s="63"/>
      <c r="U8" s="63"/>
      <c r="V8" s="63"/>
      <c r="W8" s="63"/>
      <c r="X8" s="63"/>
      <c r="Y8" s="63"/>
      <c r="BC8" s="9"/>
      <c r="BD8" s="6"/>
      <c r="BE8" s="5"/>
      <c r="BF8" s="5"/>
      <c r="BG8" s="5"/>
      <c r="BH8" s="9"/>
      <c r="BI8" s="6"/>
      <c r="BJ8" s="5"/>
      <c r="BK8" s="5"/>
      <c r="BL8" s="5"/>
      <c r="BM8" s="9"/>
      <c r="BN8" s="6"/>
      <c r="BO8" s="5"/>
      <c r="BP8" s="5"/>
      <c r="BQ8" s="5"/>
      <c r="BR8" s="9"/>
      <c r="BS8" s="6"/>
      <c r="BT8" s="5"/>
      <c r="BU8" s="5"/>
      <c r="BV8" s="5"/>
      <c r="BW8" s="6"/>
      <c r="BX8" s="5"/>
      <c r="BY8" s="5"/>
      <c r="BZ8" s="5"/>
      <c r="CA8" s="5"/>
      <c r="CB8" s="5"/>
      <c r="CC8" s="5"/>
      <c r="CD8" s="5"/>
    </row>
    <row r="9" spans="1:82" ht="15.6">
      <c r="A9" s="65" t="s">
        <v>514</v>
      </c>
      <c r="B9" s="135"/>
      <c r="C9" s="137"/>
      <c r="D9" s="136"/>
      <c r="E9" s="63"/>
      <c r="F9" s="63"/>
      <c r="G9" s="63"/>
      <c r="H9" s="63"/>
      <c r="I9" s="63"/>
      <c r="J9" s="63"/>
      <c r="K9" s="63"/>
      <c r="L9" s="63"/>
      <c r="M9" s="63"/>
      <c r="N9" s="63"/>
      <c r="O9" s="63"/>
      <c r="P9" s="63"/>
      <c r="Q9" s="63"/>
      <c r="R9" s="63"/>
      <c r="S9" s="63"/>
      <c r="T9" s="63"/>
      <c r="U9" s="63"/>
      <c r="V9" s="63"/>
      <c r="W9" s="63"/>
      <c r="X9" s="63"/>
      <c r="Y9" s="63"/>
      <c r="BC9" s="5"/>
      <c r="BD9" s="6"/>
      <c r="BE9" s="5"/>
      <c r="BF9" s="5"/>
      <c r="BG9" s="5"/>
      <c r="BH9" s="5"/>
      <c r="BI9" s="6"/>
      <c r="BJ9" s="5"/>
      <c r="BK9" s="5"/>
      <c r="BL9" s="5"/>
      <c r="BM9" s="5"/>
      <c r="BN9" s="6"/>
      <c r="BO9" s="5"/>
      <c r="BP9" s="5"/>
      <c r="BQ9" s="5"/>
      <c r="BR9" s="5"/>
      <c r="BS9" s="6"/>
      <c r="BT9" s="5"/>
      <c r="BU9" s="5"/>
      <c r="BV9" s="5"/>
      <c r="BW9" s="5"/>
      <c r="BX9" s="5"/>
      <c r="BY9" s="5"/>
      <c r="BZ9" s="5"/>
      <c r="CA9" s="5"/>
      <c r="CB9" s="5"/>
      <c r="CC9" s="5"/>
      <c r="CD9" s="5"/>
    </row>
    <row r="10" spans="1:82">
      <c r="A10" s="138"/>
      <c r="B10" s="138"/>
      <c r="C10" s="139"/>
      <c r="D10" s="69"/>
      <c r="E10" s="63"/>
      <c r="F10" s="63"/>
      <c r="G10" s="1106" t="s">
        <v>187</v>
      </c>
      <c r="H10" s="1107"/>
      <c r="I10" s="1107"/>
      <c r="J10" s="1108"/>
      <c r="K10" s="63"/>
      <c r="L10" s="63"/>
      <c r="M10" s="63"/>
      <c r="N10" s="63"/>
      <c r="O10" s="63"/>
      <c r="P10" s="63"/>
      <c r="Q10" s="63"/>
      <c r="R10" s="63"/>
      <c r="S10" s="63"/>
      <c r="T10" s="63"/>
      <c r="U10" s="63"/>
      <c r="V10" s="63"/>
      <c r="W10" s="63"/>
      <c r="X10" s="63"/>
      <c r="Y10" s="63"/>
      <c r="BC10" s="5"/>
      <c r="BD10" s="5"/>
      <c r="BE10" s="6"/>
      <c r="BG10" s="6"/>
      <c r="BH10" s="5"/>
      <c r="BI10" s="5"/>
      <c r="BJ10" s="5"/>
      <c r="BK10" s="5"/>
      <c r="BL10" s="5"/>
      <c r="BM10" s="5"/>
      <c r="BN10" s="5"/>
      <c r="BO10" s="5"/>
      <c r="BP10" s="5"/>
      <c r="BQ10" s="5"/>
      <c r="BR10" s="5"/>
      <c r="BS10" s="5"/>
      <c r="BT10" s="5"/>
      <c r="BU10" s="5"/>
      <c r="BV10" s="5"/>
      <c r="BW10" s="5"/>
      <c r="BX10" s="5"/>
      <c r="BY10" s="5"/>
      <c r="BZ10" s="5"/>
      <c r="CA10" s="5"/>
      <c r="CB10" s="5"/>
      <c r="CC10" s="5"/>
      <c r="CD10" s="5"/>
    </row>
    <row r="11" spans="1:82">
      <c r="A11" s="140" t="s">
        <v>267</v>
      </c>
      <c r="B11" s="68" t="s">
        <v>264</v>
      </c>
      <c r="C11" s="798"/>
      <c r="D11" s="141" t="str">
        <f>IF(C11=0,"",(C11*100)/C$38)</f>
        <v/>
      </c>
      <c r="E11" s="63"/>
      <c r="F11" s="63" t="s">
        <v>88</v>
      </c>
      <c r="G11" s="1109"/>
      <c r="H11" s="1110"/>
      <c r="I11" s="1110"/>
      <c r="J11" s="1111"/>
      <c r="K11" s="63"/>
      <c r="L11" s="63"/>
      <c r="M11" s="63"/>
      <c r="N11" s="63"/>
      <c r="O11" s="63"/>
      <c r="P11" s="63"/>
      <c r="Q11" s="63"/>
      <c r="R11" s="63"/>
      <c r="S11" s="63"/>
      <c r="T11" s="63"/>
      <c r="U11" s="63"/>
      <c r="V11" s="63"/>
      <c r="W11" s="63"/>
      <c r="X11" s="63"/>
      <c r="Y11" s="63"/>
      <c r="BC11" s="5"/>
      <c r="BD11" s="6"/>
      <c r="BE11" s="5"/>
      <c r="BF11" s="5"/>
      <c r="BG11" s="6"/>
      <c r="BH11" s="5"/>
      <c r="BI11" s="6"/>
      <c r="BJ11" s="5"/>
      <c r="BK11" s="5"/>
      <c r="BL11" s="5"/>
      <c r="BM11" s="5"/>
      <c r="BN11" s="6"/>
      <c r="BO11" s="5"/>
      <c r="BP11" s="5"/>
      <c r="BQ11" s="5"/>
      <c r="BR11" s="5"/>
      <c r="BS11" s="6"/>
      <c r="BT11" s="5"/>
      <c r="BU11" s="5"/>
      <c r="BV11" s="5"/>
      <c r="BW11" s="5"/>
      <c r="BX11" s="5"/>
      <c r="BY11" s="5"/>
      <c r="BZ11" s="5"/>
      <c r="CA11" s="10"/>
      <c r="CB11" s="5"/>
      <c r="CC11" s="5"/>
      <c r="CD11" s="5"/>
    </row>
    <row r="12" spans="1:82">
      <c r="A12" s="140"/>
      <c r="B12" s="68" t="s">
        <v>466</v>
      </c>
      <c r="C12" s="798"/>
      <c r="D12" s="141" t="str">
        <f>IF(C12=0,"",(C12*100)/C$38)</f>
        <v/>
      </c>
      <c r="E12" s="63"/>
      <c r="F12" s="63"/>
      <c r="G12" s="1109"/>
      <c r="H12" s="1110"/>
      <c r="I12" s="1110"/>
      <c r="J12" s="1111"/>
      <c r="K12" s="63"/>
      <c r="L12" s="63"/>
      <c r="M12" s="63"/>
      <c r="N12" s="63"/>
      <c r="O12" s="63"/>
      <c r="P12" s="63"/>
      <c r="Q12" s="63"/>
      <c r="R12" s="63"/>
      <c r="S12" s="63"/>
      <c r="T12" s="63"/>
      <c r="U12" s="63"/>
      <c r="V12" s="63"/>
      <c r="W12" s="63"/>
      <c r="X12" s="63"/>
      <c r="Y12" s="63"/>
      <c r="BC12" s="5"/>
      <c r="BD12" s="6"/>
      <c r="BE12" s="5"/>
      <c r="BF12" s="5"/>
      <c r="BG12" s="6"/>
      <c r="BH12" s="5"/>
      <c r="BI12" s="6"/>
      <c r="BJ12" s="5"/>
      <c r="BK12" s="5"/>
      <c r="BL12" s="5"/>
      <c r="BM12" s="5"/>
      <c r="BN12" s="6"/>
      <c r="BO12" s="5"/>
      <c r="BP12" s="5"/>
      <c r="BQ12" s="5"/>
      <c r="BR12" s="5"/>
      <c r="BS12" s="6"/>
      <c r="BT12" s="5"/>
      <c r="BU12" s="5"/>
      <c r="BV12" s="5"/>
      <c r="BW12" s="5"/>
      <c r="BX12" s="5"/>
      <c r="BY12" s="5"/>
      <c r="BZ12" s="5"/>
      <c r="CA12" s="10"/>
      <c r="CB12" s="5"/>
      <c r="CC12" s="5"/>
      <c r="CD12" s="5"/>
    </row>
    <row r="13" spans="1:82">
      <c r="A13" s="93"/>
      <c r="B13" s="142" t="s">
        <v>265</v>
      </c>
      <c r="C13" s="143">
        <f>Kapitalbedarf!C24+Kapitalbedarf!C34</f>
        <v>0</v>
      </c>
      <c r="D13" s="144" t="str">
        <f>IF(C13=0,"",(C13*100)/C$38)</f>
        <v/>
      </c>
      <c r="E13" s="63"/>
      <c r="F13" s="63"/>
      <c r="G13" s="1109"/>
      <c r="H13" s="1110"/>
      <c r="I13" s="1110"/>
      <c r="J13" s="1111"/>
      <c r="K13" s="63"/>
      <c r="L13" s="63"/>
      <c r="M13" s="63"/>
      <c r="N13" s="63"/>
      <c r="O13" s="63"/>
      <c r="P13" s="63"/>
      <c r="Q13" s="63"/>
      <c r="R13" s="63"/>
      <c r="S13" s="63"/>
      <c r="T13" s="63"/>
      <c r="U13" s="63"/>
      <c r="V13" s="63"/>
      <c r="W13" s="63"/>
      <c r="X13" s="63"/>
      <c r="Y13" s="63"/>
      <c r="BC13" s="5"/>
      <c r="BD13" s="5"/>
      <c r="BE13" s="6"/>
      <c r="BF13" s="5"/>
      <c r="BG13" s="6"/>
      <c r="BH13" s="5"/>
      <c r="BI13" s="5"/>
      <c r="BJ13" s="6"/>
      <c r="BK13" s="5"/>
      <c r="BL13" s="6"/>
      <c r="BM13" s="5"/>
      <c r="BN13" s="5"/>
      <c r="BO13" s="6"/>
      <c r="BP13" s="5"/>
      <c r="BQ13" s="6"/>
      <c r="BR13" s="5"/>
      <c r="BS13" s="5"/>
      <c r="BT13" s="6"/>
      <c r="BU13" s="5"/>
      <c r="BV13" s="6"/>
      <c r="BW13" s="5"/>
      <c r="BX13" s="6"/>
      <c r="BY13" s="5"/>
      <c r="BZ13" s="6"/>
      <c r="CA13" s="10"/>
      <c r="CB13" s="11"/>
      <c r="CC13" s="10"/>
      <c r="CD13" s="11"/>
    </row>
    <row r="14" spans="1:82">
      <c r="A14" s="145" t="s">
        <v>268</v>
      </c>
      <c r="B14" s="146"/>
      <c r="C14" s="147">
        <f>SUM(C11:C13)</f>
        <v>0</v>
      </c>
      <c r="D14" s="148" t="str">
        <f>IF(C14=0,"",(C14*100)/C$38)</f>
        <v/>
      </c>
      <c r="E14" s="63"/>
      <c r="F14" s="63"/>
      <c r="G14" s="1112"/>
      <c r="H14" s="1113"/>
      <c r="I14" s="1113"/>
      <c r="J14" s="1114"/>
      <c r="K14" s="63"/>
      <c r="L14" s="63"/>
      <c r="M14" s="63"/>
      <c r="N14" s="63"/>
      <c r="O14" s="63"/>
      <c r="P14" s="63"/>
      <c r="Q14" s="63"/>
      <c r="R14" s="63"/>
      <c r="S14" s="63"/>
      <c r="T14" s="63"/>
      <c r="U14" s="63"/>
      <c r="V14" s="63"/>
      <c r="W14" s="63"/>
      <c r="X14" s="63"/>
      <c r="Y14" s="63"/>
      <c r="BC14" s="5"/>
      <c r="BD14" s="5"/>
      <c r="BE14" s="6"/>
      <c r="BF14" s="5"/>
      <c r="BG14" s="6"/>
      <c r="BH14" s="5"/>
      <c r="BI14" s="5"/>
      <c r="BJ14" s="6"/>
      <c r="BK14" s="5"/>
      <c r="BL14" s="6"/>
      <c r="BM14" s="5"/>
      <c r="BN14" s="5"/>
      <c r="BO14" s="6"/>
      <c r="BP14" s="5"/>
      <c r="BQ14" s="6"/>
      <c r="BR14" s="5"/>
      <c r="BS14" s="5"/>
      <c r="BT14" s="6"/>
      <c r="BU14" s="5"/>
      <c r="BV14" s="6"/>
      <c r="BW14" s="5"/>
      <c r="BX14" s="6"/>
      <c r="BY14" s="5"/>
      <c r="BZ14" s="6"/>
      <c r="CA14" s="10"/>
      <c r="CB14" s="11"/>
      <c r="CC14" s="10"/>
      <c r="CD14" s="11"/>
    </row>
    <row r="15" spans="1:82">
      <c r="A15" s="68"/>
      <c r="B15" s="68"/>
      <c r="C15" s="149"/>
      <c r="D15" s="150"/>
      <c r="E15" s="151"/>
      <c r="F15" s="152"/>
      <c r="G15" s="152"/>
      <c r="H15" s="153" t="str">
        <f>IF(OR(AND(H18&gt;0,H18&lt;1),H18&gt;36,H18&gt;F18*12,AND(H19&gt;0,H19&lt;1),H19&gt;36,H19&gt;F19*12,AND(H21&gt;0,H21&lt;1),H21&gt;84,H21&gt;F21*12),"Überprüfe Eingabe: Tilgungsfreie Zeit in Monaten","")</f>
        <v/>
      </c>
      <c r="I15" s="63"/>
      <c r="J15" s="63"/>
      <c r="K15" s="63"/>
      <c r="L15" s="63"/>
      <c r="M15" s="63"/>
      <c r="N15" s="63"/>
      <c r="O15" s="63"/>
      <c r="P15" s="63"/>
      <c r="Q15" s="63"/>
      <c r="R15" s="63"/>
      <c r="S15" s="63"/>
      <c r="T15" s="63"/>
      <c r="U15" s="63"/>
      <c r="V15" s="63"/>
      <c r="W15" s="63"/>
      <c r="X15" s="63"/>
      <c r="Y15" s="63"/>
      <c r="BC15" s="12"/>
      <c r="BD15" s="6"/>
      <c r="BE15" s="6"/>
      <c r="BF15" s="6"/>
      <c r="BG15" s="6"/>
      <c r="BH15" s="5"/>
      <c r="BI15" s="6"/>
      <c r="BJ15" s="6"/>
      <c r="BK15" s="6"/>
      <c r="BL15" s="6"/>
      <c r="BM15" s="5"/>
      <c r="BN15" s="6"/>
      <c r="BO15" s="6"/>
      <c r="BP15" s="6"/>
      <c r="BQ15" s="6"/>
      <c r="BR15" s="5"/>
      <c r="BS15" s="6"/>
      <c r="BT15" s="6"/>
      <c r="BU15" s="6"/>
      <c r="BV15" s="6"/>
      <c r="BW15" s="6"/>
      <c r="BX15" s="6"/>
      <c r="BY15" s="6"/>
      <c r="BZ15" s="13"/>
      <c r="CA15" s="7"/>
      <c r="CB15" s="7"/>
      <c r="CC15" s="7"/>
      <c r="CD15" s="7"/>
    </row>
    <row r="16" spans="1:82">
      <c r="A16" s="145" t="s">
        <v>374</v>
      </c>
      <c r="B16" s="154"/>
      <c r="C16" s="155">
        <f>C6-C14</f>
        <v>0</v>
      </c>
      <c r="D16" s="144"/>
      <c r="E16" s="156" t="s">
        <v>51</v>
      </c>
      <c r="F16" s="156" t="s">
        <v>70</v>
      </c>
      <c r="G16" s="156" t="s">
        <v>94</v>
      </c>
      <c r="H16" s="156" t="s">
        <v>371</v>
      </c>
      <c r="I16" s="71" t="s">
        <v>69</v>
      </c>
      <c r="J16" s="156" t="s">
        <v>192</v>
      </c>
      <c r="K16" s="63"/>
      <c r="L16" s="63"/>
      <c r="M16" s="63"/>
      <c r="N16" s="63"/>
      <c r="O16" s="63"/>
      <c r="P16" s="63"/>
      <c r="Q16" s="63"/>
      <c r="R16" s="63"/>
      <c r="S16" s="63"/>
      <c r="T16" s="63"/>
      <c r="U16" s="63"/>
      <c r="V16" s="63"/>
      <c r="W16" s="63"/>
      <c r="X16" s="63"/>
      <c r="Y16" s="63"/>
      <c r="BC16" s="12"/>
      <c r="BD16" s="6"/>
      <c r="BE16" s="6"/>
      <c r="BF16" s="6"/>
      <c r="BG16" s="6"/>
      <c r="BH16" s="5"/>
      <c r="BI16" s="6"/>
      <c r="BJ16" s="6"/>
      <c r="BK16" s="6"/>
      <c r="BL16" s="6"/>
      <c r="BM16" s="5"/>
      <c r="BN16" s="6"/>
      <c r="BO16" s="6"/>
      <c r="BP16" s="6"/>
      <c r="BQ16" s="6"/>
      <c r="BR16" s="5"/>
      <c r="BS16" s="6"/>
      <c r="BT16" s="6"/>
      <c r="BU16" s="6"/>
      <c r="BV16" s="6"/>
      <c r="BW16" s="6"/>
      <c r="BX16" s="6"/>
      <c r="BY16" s="6"/>
      <c r="BZ16" s="13"/>
      <c r="CA16" s="7"/>
      <c r="CB16" s="7"/>
      <c r="CC16" s="7"/>
      <c r="CD16" s="7"/>
    </row>
    <row r="17" spans="1:82" ht="26.4">
      <c r="A17" s="140" t="s">
        <v>262</v>
      </c>
      <c r="B17" s="157"/>
      <c r="C17" s="98"/>
      <c r="D17" s="158"/>
      <c r="E17" s="159" t="s">
        <v>372</v>
      </c>
      <c r="F17" s="160" t="s">
        <v>46</v>
      </c>
      <c r="G17" s="160" t="s">
        <v>46</v>
      </c>
      <c r="H17" s="159" t="s">
        <v>464</v>
      </c>
      <c r="I17" s="161" t="s">
        <v>71</v>
      </c>
      <c r="J17" s="160" t="s">
        <v>29</v>
      </c>
      <c r="K17" s="63"/>
      <c r="L17" s="63"/>
      <c r="M17" s="63"/>
      <c r="N17" s="63"/>
      <c r="O17" s="63"/>
      <c r="P17" s="63"/>
      <c r="Q17" s="63"/>
      <c r="R17" s="63"/>
      <c r="S17" s="63"/>
      <c r="T17" s="63"/>
      <c r="U17" s="63"/>
      <c r="V17" s="63"/>
      <c r="W17" s="63"/>
      <c r="X17" s="63"/>
      <c r="Y17" s="63"/>
      <c r="BC17" s="12"/>
      <c r="BD17" s="6"/>
      <c r="BE17" s="6"/>
      <c r="BF17" s="6"/>
      <c r="BG17" s="6"/>
      <c r="BH17" s="5"/>
      <c r="BI17" s="6"/>
      <c r="BJ17" s="6"/>
      <c r="BK17" s="6"/>
      <c r="BL17" s="6"/>
      <c r="BM17" s="5"/>
      <c r="BN17" s="6"/>
      <c r="BO17" s="6"/>
      <c r="BP17" s="6"/>
      <c r="BQ17" s="6"/>
      <c r="BR17" s="5"/>
      <c r="BS17" s="6"/>
      <c r="BT17" s="6"/>
      <c r="BU17" s="6"/>
      <c r="BV17" s="6"/>
      <c r="BW17" s="6"/>
      <c r="BX17" s="6"/>
      <c r="BY17" s="6"/>
      <c r="BZ17" s="13"/>
      <c r="CA17" s="7"/>
      <c r="CB17" s="7"/>
      <c r="CC17" s="7"/>
      <c r="CD17" s="7"/>
    </row>
    <row r="18" spans="1:82">
      <c r="A18" s="92" t="s">
        <v>92</v>
      </c>
      <c r="B18" s="850"/>
      <c r="C18" s="798"/>
      <c r="D18" s="144" t="str">
        <f t="shared" ref="D18:D23" si="0">IF(C18="","",(C18*100)/C$38)</f>
        <v/>
      </c>
      <c r="E18" s="853"/>
      <c r="F18" s="854"/>
      <c r="G18" s="854"/>
      <c r="H18" s="855"/>
      <c r="I18" s="855"/>
      <c r="J18" s="143">
        <f t="shared" ref="J18:J23" si="1">ROUND(IF(I18="",0,C18*(100-I18)/100),-2)</f>
        <v>0</v>
      </c>
      <c r="K18" s="63"/>
      <c r="L18" s="63"/>
      <c r="M18" s="63"/>
      <c r="N18" s="63"/>
      <c r="O18" s="63"/>
      <c r="P18" s="63"/>
      <c r="Q18" s="63"/>
      <c r="R18" s="63"/>
      <c r="S18" s="63"/>
      <c r="T18" s="63"/>
      <c r="U18" s="63"/>
      <c r="V18" s="63"/>
      <c r="W18" s="63"/>
      <c r="X18" s="63"/>
      <c r="Y18" s="63"/>
      <c r="BC18" s="12"/>
      <c r="BD18" s="6"/>
      <c r="BE18" s="6"/>
      <c r="BF18" s="6"/>
      <c r="BG18" s="6"/>
      <c r="BH18" s="5"/>
      <c r="BI18" s="6"/>
      <c r="BJ18" s="6"/>
      <c r="BK18" s="6"/>
      <c r="BL18" s="6"/>
      <c r="BM18" s="5"/>
      <c r="BN18" s="6"/>
      <c r="BO18" s="6"/>
      <c r="BP18" s="6"/>
      <c r="BQ18" s="6"/>
      <c r="BR18" s="5"/>
      <c r="BS18" s="6"/>
      <c r="BT18" s="6"/>
      <c r="BU18" s="6"/>
      <c r="BV18" s="6"/>
      <c r="BW18" s="6"/>
      <c r="BX18" s="6"/>
      <c r="BY18" s="6"/>
      <c r="BZ18" s="13"/>
      <c r="CA18" s="7"/>
      <c r="CB18" s="7"/>
      <c r="CC18" s="7"/>
      <c r="CD18" s="7"/>
    </row>
    <row r="19" spans="1:82">
      <c r="A19" s="92" t="s">
        <v>93</v>
      </c>
      <c r="B19" s="850"/>
      <c r="C19" s="798"/>
      <c r="D19" s="144" t="str">
        <f t="shared" si="0"/>
        <v/>
      </c>
      <c r="E19" s="853"/>
      <c r="F19" s="854"/>
      <c r="G19" s="854"/>
      <c r="H19" s="855"/>
      <c r="I19" s="855"/>
      <c r="J19" s="143">
        <f t="shared" si="1"/>
        <v>0</v>
      </c>
      <c r="K19" s="63"/>
      <c r="L19" s="63"/>
      <c r="M19" s="63"/>
      <c r="N19" s="63"/>
      <c r="O19" s="63"/>
      <c r="P19" s="63"/>
      <c r="Q19" s="63"/>
      <c r="R19" s="63"/>
      <c r="S19" s="63"/>
      <c r="T19" s="63"/>
      <c r="U19" s="63"/>
      <c r="V19" s="63"/>
      <c r="W19" s="63"/>
      <c r="X19" s="63"/>
      <c r="Y19" s="63"/>
      <c r="BC19" s="12"/>
      <c r="BD19" s="6"/>
      <c r="BE19" s="6"/>
      <c r="BF19" s="6"/>
      <c r="BG19" s="6"/>
      <c r="BH19" s="5"/>
      <c r="BI19" s="6"/>
      <c r="BJ19" s="6"/>
      <c r="BK19" s="6"/>
      <c r="BL19" s="6"/>
      <c r="BM19" s="5"/>
      <c r="BN19" s="6"/>
      <c r="BO19" s="6"/>
      <c r="BP19" s="6"/>
      <c r="BQ19" s="6"/>
      <c r="BR19" s="5"/>
      <c r="BS19" s="6"/>
      <c r="BT19" s="6"/>
      <c r="BU19" s="6"/>
      <c r="BV19" s="6"/>
      <c r="BW19" s="6"/>
      <c r="BX19" s="6"/>
      <c r="BY19" s="6"/>
      <c r="BZ19" s="13"/>
      <c r="CA19" s="7"/>
      <c r="CB19" s="7"/>
      <c r="CC19" s="7"/>
      <c r="CD19" s="7"/>
    </row>
    <row r="20" spans="1:82">
      <c r="A20" s="92" t="s">
        <v>433</v>
      </c>
      <c r="B20" s="850"/>
      <c r="C20" s="798"/>
      <c r="D20" s="144" t="str">
        <f t="shared" si="0"/>
        <v/>
      </c>
      <c r="E20" s="853"/>
      <c r="F20" s="854"/>
      <c r="G20" s="854"/>
      <c r="H20" s="855"/>
      <c r="I20" s="855"/>
      <c r="J20" s="143">
        <f t="shared" si="1"/>
        <v>0</v>
      </c>
      <c r="K20" s="63"/>
      <c r="L20" s="63"/>
      <c r="M20" s="63"/>
      <c r="N20" s="63"/>
      <c r="O20" s="63"/>
      <c r="P20" s="63"/>
      <c r="Q20" s="63"/>
      <c r="R20" s="63"/>
      <c r="S20" s="63"/>
      <c r="T20" s="63"/>
      <c r="U20" s="63"/>
      <c r="V20" s="63"/>
      <c r="W20" s="63"/>
      <c r="X20" s="63"/>
      <c r="Y20" s="63"/>
      <c r="BC20" s="12"/>
      <c r="BD20" s="6"/>
      <c r="BE20" s="6"/>
      <c r="BF20" s="6"/>
      <c r="BG20" s="6"/>
      <c r="BH20" s="5"/>
      <c r="BI20" s="6"/>
      <c r="BJ20" s="6"/>
      <c r="BK20" s="6"/>
      <c r="BL20" s="6"/>
      <c r="BM20" s="5"/>
      <c r="BN20" s="6"/>
      <c r="BO20" s="6"/>
      <c r="BP20" s="6"/>
      <c r="BQ20" s="6"/>
      <c r="BR20" s="5"/>
      <c r="BS20" s="6"/>
      <c r="BT20" s="6"/>
      <c r="BU20" s="6"/>
      <c r="BV20" s="6"/>
      <c r="BW20" s="6"/>
      <c r="BX20" s="6"/>
      <c r="BY20" s="6"/>
      <c r="BZ20" s="13"/>
      <c r="CA20" s="7"/>
      <c r="CB20" s="7"/>
      <c r="CC20" s="7"/>
      <c r="CD20" s="7"/>
    </row>
    <row r="21" spans="1:82">
      <c r="A21" s="1115" t="s">
        <v>408</v>
      </c>
      <c r="B21" s="1116"/>
      <c r="C21" s="798"/>
      <c r="D21" s="144" t="str">
        <f t="shared" si="0"/>
        <v/>
      </c>
      <c r="E21" s="163"/>
      <c r="F21" s="163"/>
      <c r="G21" s="163"/>
      <c r="H21" s="163"/>
      <c r="I21" s="855">
        <v>100</v>
      </c>
      <c r="J21" s="143">
        <f t="shared" si="1"/>
        <v>0</v>
      </c>
      <c r="K21" s="63"/>
      <c r="L21" s="63"/>
      <c r="M21" s="63"/>
      <c r="N21" s="63"/>
      <c r="O21" s="63"/>
      <c r="P21" s="63"/>
      <c r="Q21" s="63"/>
      <c r="R21" s="63"/>
      <c r="S21" s="63"/>
      <c r="T21" s="63"/>
      <c r="U21" s="63"/>
      <c r="V21" s="63"/>
      <c r="W21" s="63"/>
      <c r="X21" s="63"/>
      <c r="Y21" s="63"/>
      <c r="BC21" s="12"/>
      <c r="BD21" s="6"/>
      <c r="BE21" s="6"/>
      <c r="BF21" s="6"/>
      <c r="BG21" s="6"/>
      <c r="BH21" s="5"/>
      <c r="BI21" s="6"/>
      <c r="BJ21" s="6"/>
      <c r="BK21" s="6"/>
      <c r="BL21" s="6"/>
      <c r="BM21" s="5"/>
      <c r="BN21" s="6"/>
      <c r="BO21" s="6"/>
      <c r="BP21" s="6"/>
      <c r="BQ21" s="6"/>
      <c r="BR21" s="5"/>
      <c r="BS21" s="6"/>
      <c r="BT21" s="6"/>
      <c r="BU21" s="6"/>
      <c r="BV21" s="6"/>
      <c r="BW21" s="6"/>
      <c r="BX21" s="6"/>
      <c r="BY21" s="6"/>
      <c r="BZ21" s="13"/>
      <c r="CA21" s="7"/>
      <c r="CB21" s="7"/>
      <c r="CC21" s="7"/>
      <c r="CD21" s="7"/>
    </row>
    <row r="22" spans="1:82">
      <c r="A22" s="1115" t="s">
        <v>126</v>
      </c>
      <c r="B22" s="1116"/>
      <c r="C22" s="798"/>
      <c r="D22" s="144" t="str">
        <f t="shared" si="0"/>
        <v/>
      </c>
      <c r="E22" s="853"/>
      <c r="F22" s="163"/>
      <c r="G22" s="163"/>
      <c r="H22" s="163"/>
      <c r="I22" s="812">
        <v>100</v>
      </c>
      <c r="J22" s="164">
        <f t="shared" si="1"/>
        <v>0</v>
      </c>
      <c r="K22" s="63"/>
      <c r="L22" s="63"/>
      <c r="M22" s="63"/>
      <c r="N22" s="63"/>
      <c r="O22" s="63"/>
      <c r="P22" s="63"/>
      <c r="Q22" s="63"/>
      <c r="R22" s="63"/>
      <c r="S22" s="63"/>
      <c r="T22" s="63"/>
      <c r="U22" s="63"/>
      <c r="V22" s="63"/>
      <c r="W22" s="63"/>
      <c r="X22" s="63"/>
      <c r="Y22" s="63"/>
      <c r="BC22" s="12"/>
      <c r="BD22" s="6"/>
      <c r="BE22" s="6"/>
      <c r="BF22" s="6"/>
      <c r="BG22" s="6"/>
      <c r="BH22" s="5"/>
      <c r="BI22" s="6"/>
      <c r="BJ22" s="6"/>
      <c r="BK22" s="6"/>
      <c r="BL22" s="6"/>
      <c r="BM22" s="5"/>
      <c r="BN22" s="6"/>
      <c r="BO22" s="6"/>
      <c r="BP22" s="6"/>
      <c r="BQ22" s="6"/>
      <c r="BR22" s="5"/>
      <c r="BS22" s="6"/>
      <c r="BT22" s="6"/>
      <c r="BU22" s="6"/>
      <c r="BV22" s="6"/>
      <c r="BW22" s="6"/>
      <c r="BX22" s="6"/>
      <c r="BY22" s="6"/>
      <c r="BZ22" s="13"/>
      <c r="CA22" s="7"/>
      <c r="CB22" s="7"/>
      <c r="CC22" s="7"/>
      <c r="CD22" s="7"/>
    </row>
    <row r="23" spans="1:82">
      <c r="A23" s="165" t="s">
        <v>250</v>
      </c>
      <c r="B23" s="851"/>
      <c r="C23" s="798"/>
      <c r="D23" s="144" t="str">
        <f t="shared" si="0"/>
        <v/>
      </c>
      <c r="E23" s="853"/>
      <c r="F23" s="855"/>
      <c r="G23" s="855"/>
      <c r="H23" s="166"/>
      <c r="I23" s="166"/>
      <c r="J23" s="167">
        <f t="shared" si="1"/>
        <v>0</v>
      </c>
      <c r="K23" s="63"/>
      <c r="L23" s="63"/>
      <c r="M23" s="63"/>
      <c r="N23" s="63"/>
      <c r="O23" s="63"/>
      <c r="P23" s="63"/>
      <c r="Q23" s="63"/>
      <c r="R23" s="63"/>
      <c r="S23" s="63"/>
      <c r="T23" s="63"/>
      <c r="U23" s="63"/>
      <c r="V23" s="63"/>
      <c r="W23" s="63"/>
      <c r="X23" s="63"/>
      <c r="Y23" s="63"/>
      <c r="BC23" s="12"/>
      <c r="BD23" s="6"/>
      <c r="BE23" s="6"/>
      <c r="BF23" s="6"/>
      <c r="BG23" s="6"/>
      <c r="BH23" s="5"/>
      <c r="BI23" s="6"/>
      <c r="BJ23" s="6"/>
      <c r="BK23" s="6"/>
      <c r="BL23" s="6"/>
      <c r="BM23" s="5"/>
      <c r="BN23" s="6"/>
      <c r="BO23" s="6"/>
      <c r="BP23" s="6"/>
      <c r="BQ23" s="6"/>
      <c r="BR23" s="5"/>
      <c r="BS23" s="6"/>
      <c r="BT23" s="6"/>
      <c r="BU23" s="6"/>
      <c r="BV23" s="6"/>
      <c r="BW23" s="6"/>
      <c r="BX23" s="6"/>
      <c r="BY23" s="6"/>
      <c r="BZ23" s="13"/>
      <c r="CA23" s="7"/>
      <c r="CB23" s="7"/>
      <c r="CC23" s="7"/>
      <c r="CD23" s="7"/>
    </row>
    <row r="24" spans="1:82" ht="26.4">
      <c r="A24" s="92"/>
      <c r="B24" s="63"/>
      <c r="C24" s="63"/>
      <c r="D24" s="134"/>
      <c r="E24" s="63"/>
      <c r="F24" s="168" t="s">
        <v>252</v>
      </c>
      <c r="G24" s="63"/>
      <c r="H24" s="168" t="s">
        <v>253</v>
      </c>
      <c r="I24" s="63"/>
      <c r="J24" s="169"/>
      <c r="K24" s="1105" t="str">
        <f>IF(Kapitalbedarf!$F$36-$C$38=0,"",IF($J$27&lt;1,"","Achtung: Kapitalbedarf wurde um Disagio erhöht; Finanzierung muß entsprechend erhöht werden." ))</f>
        <v/>
      </c>
      <c r="L24" s="1105"/>
      <c r="M24" s="63"/>
      <c r="N24" s="63"/>
      <c r="O24" s="63"/>
      <c r="P24" s="63"/>
      <c r="Q24" s="63"/>
      <c r="R24" s="63"/>
      <c r="S24" s="63"/>
      <c r="T24" s="63"/>
      <c r="U24" s="63"/>
      <c r="V24" s="63"/>
      <c r="W24" s="63"/>
      <c r="X24" s="63"/>
      <c r="Y24" s="63"/>
      <c r="BC24" s="12"/>
      <c r="BD24" s="6"/>
      <c r="BE24" s="6"/>
      <c r="BF24" s="6"/>
      <c r="BG24" s="6"/>
      <c r="BH24" s="5"/>
      <c r="BI24" s="6"/>
      <c r="BJ24" s="6"/>
      <c r="BK24" s="6"/>
      <c r="BL24" s="6"/>
      <c r="BM24" s="5"/>
      <c r="BN24" s="6"/>
      <c r="BO24" s="6"/>
      <c r="BP24" s="6"/>
      <c r="BQ24" s="6"/>
      <c r="BR24" s="5"/>
      <c r="BS24" s="6"/>
      <c r="BT24" s="6"/>
      <c r="BU24" s="6"/>
      <c r="BV24" s="6"/>
      <c r="BW24" s="6"/>
      <c r="BX24" s="6"/>
      <c r="BY24" s="6"/>
      <c r="BZ24" s="13"/>
      <c r="CA24" s="7"/>
      <c r="CB24" s="7"/>
      <c r="CC24" s="7"/>
      <c r="CD24" s="7"/>
    </row>
    <row r="25" spans="1:82">
      <c r="A25" s="171" t="s">
        <v>95</v>
      </c>
      <c r="B25" s="852"/>
      <c r="C25" s="798"/>
      <c r="D25" s="144" t="str">
        <f>IF(C25="","",(C25*100)/C$38)</f>
        <v/>
      </c>
      <c r="E25" s="856"/>
      <c r="F25" s="857"/>
      <c r="G25" s="855"/>
      <c r="H25" s="144">
        <f>IF(F25=0,0,LOG10((E25+F25)/F25)/LOG10(1+E25))</f>
        <v>0</v>
      </c>
      <c r="I25" s="812"/>
      <c r="J25" s="172">
        <f>ROUND(IF(I25="",0,C25*(100-I25)/100),-2)</f>
        <v>0</v>
      </c>
      <c r="K25" s="1105"/>
      <c r="L25" s="1105"/>
      <c r="M25" s="63"/>
      <c r="N25" s="63"/>
      <c r="O25" s="63"/>
      <c r="P25" s="63"/>
      <c r="Q25" s="63"/>
      <c r="R25" s="63"/>
      <c r="S25" s="63"/>
      <c r="T25" s="63"/>
      <c r="U25" s="63"/>
      <c r="V25" s="63"/>
      <c r="W25" s="63"/>
      <c r="X25" s="63"/>
      <c r="Y25" s="63"/>
      <c r="BC25" s="12"/>
      <c r="BD25" s="6"/>
      <c r="BE25" s="6"/>
      <c r="BF25" s="6"/>
      <c r="BG25" s="6"/>
      <c r="BH25" s="5"/>
      <c r="BI25" s="6"/>
      <c r="BJ25" s="6"/>
      <c r="BK25" s="6"/>
      <c r="BL25" s="6"/>
      <c r="BM25" s="5"/>
      <c r="BN25" s="6"/>
      <c r="BO25" s="6"/>
      <c r="BP25" s="6"/>
      <c r="BQ25" s="6"/>
      <c r="BR25" s="5"/>
      <c r="BS25" s="6"/>
      <c r="BT25" s="6"/>
      <c r="BU25" s="6"/>
      <c r="BV25" s="6"/>
      <c r="BW25" s="6"/>
      <c r="BX25" s="6"/>
      <c r="BY25" s="6"/>
      <c r="BZ25" s="13"/>
      <c r="CA25" s="7"/>
      <c r="CB25" s="7"/>
      <c r="CC25" s="7"/>
      <c r="CD25" s="7"/>
    </row>
    <row r="26" spans="1:82" ht="13.8" thickBot="1">
      <c r="A26" s="173" t="s">
        <v>477</v>
      </c>
      <c r="B26" s="174"/>
      <c r="C26" s="175">
        <f>SUM(C18:C25)</f>
        <v>0</v>
      </c>
      <c r="D26" s="176" t="str">
        <f>IF(C26=0,"",(C26*100)/C$38)</f>
        <v/>
      </c>
      <c r="E26" s="63"/>
      <c r="F26" s="63"/>
      <c r="G26" s="63"/>
      <c r="H26" s="63"/>
      <c r="I26" s="1117" t="s">
        <v>266</v>
      </c>
      <c r="J26" s="164"/>
      <c r="K26" s="1105"/>
      <c r="L26" s="1105"/>
      <c r="M26" s="63"/>
      <c r="N26" s="63"/>
      <c r="O26" s="63"/>
      <c r="P26" s="63"/>
      <c r="Q26" s="63"/>
      <c r="R26" s="63"/>
      <c r="S26" s="63"/>
      <c r="T26" s="63"/>
      <c r="U26" s="63"/>
      <c r="V26" s="63"/>
      <c r="W26" s="63"/>
      <c r="X26" s="63"/>
      <c r="Y26" s="63"/>
      <c r="BC26" s="12"/>
      <c r="BD26" s="6"/>
      <c r="BE26" s="6"/>
      <c r="BF26" s="6"/>
      <c r="BG26" s="6"/>
      <c r="BH26" s="5"/>
      <c r="BI26" s="6"/>
      <c r="BJ26" s="6"/>
      <c r="BK26" s="6"/>
      <c r="BL26" s="6"/>
      <c r="BM26" s="5"/>
      <c r="BN26" s="6"/>
      <c r="BO26" s="6"/>
      <c r="BP26" s="6"/>
      <c r="BQ26" s="6"/>
      <c r="BR26" s="5"/>
      <c r="BS26" s="6"/>
      <c r="BT26" s="6"/>
      <c r="BU26" s="6"/>
      <c r="BV26" s="6"/>
      <c r="BW26" s="6"/>
      <c r="BX26" s="6"/>
      <c r="BY26" s="6"/>
      <c r="BZ26" s="13"/>
      <c r="CA26" s="7"/>
      <c r="CB26" s="7"/>
      <c r="CC26" s="7"/>
      <c r="CD26" s="7"/>
    </row>
    <row r="27" spans="1:82" ht="13.8" thickTop="1">
      <c r="A27" s="177"/>
      <c r="B27" s="63"/>
      <c r="C27" s="63"/>
      <c r="D27" s="834"/>
      <c r="E27" s="110"/>
      <c r="F27" s="110"/>
      <c r="G27" s="63"/>
      <c r="H27" s="63"/>
      <c r="I27" s="1118"/>
      <c r="J27" s="178">
        <f>SUM(J18:J23)+J25</f>
        <v>0</v>
      </c>
      <c r="K27" s="1105"/>
      <c r="L27" s="1105"/>
      <c r="M27" s="63"/>
      <c r="N27" s="63"/>
      <c r="O27" s="63"/>
      <c r="P27" s="63"/>
      <c r="Q27" s="63"/>
      <c r="R27" s="63"/>
      <c r="S27" s="63"/>
      <c r="T27" s="63"/>
      <c r="U27" s="63"/>
      <c r="V27" s="63"/>
      <c r="W27" s="63"/>
      <c r="X27" s="63"/>
      <c r="Y27" s="63"/>
      <c r="BC27" s="12"/>
      <c r="BD27" s="6"/>
      <c r="BE27" s="6"/>
      <c r="BF27" s="6"/>
      <c r="BG27" s="6"/>
      <c r="BH27" s="5"/>
      <c r="BI27" s="6"/>
      <c r="BJ27" s="6"/>
      <c r="BK27" s="6"/>
      <c r="BL27" s="6"/>
      <c r="BM27" s="5"/>
      <c r="BN27" s="6"/>
      <c r="BO27" s="6"/>
      <c r="BP27" s="6"/>
      <c r="BQ27" s="6"/>
      <c r="BR27" s="5"/>
      <c r="BS27" s="6"/>
      <c r="BT27" s="6"/>
      <c r="BU27" s="6"/>
      <c r="BV27" s="6"/>
      <c r="BW27" s="6"/>
      <c r="BX27" s="6"/>
      <c r="BY27" s="6"/>
      <c r="BZ27" s="13"/>
      <c r="CA27" s="7"/>
      <c r="CB27" s="7"/>
      <c r="CC27" s="7"/>
      <c r="CD27" s="7"/>
    </row>
    <row r="28" spans="1:82">
      <c r="A28" s="179" t="s">
        <v>263</v>
      </c>
      <c r="B28" s="63"/>
      <c r="C28" s="63"/>
      <c r="D28" s="63"/>
      <c r="E28" s="180" t="s">
        <v>77</v>
      </c>
      <c r="F28" s="63"/>
      <c r="G28" s="63"/>
      <c r="H28" s="63"/>
      <c r="I28" s="63"/>
      <c r="J28" s="63"/>
      <c r="K28" s="1105"/>
      <c r="L28" s="1105"/>
      <c r="M28" s="63"/>
      <c r="N28" s="63"/>
      <c r="O28" s="63"/>
      <c r="P28" s="63"/>
      <c r="Q28" s="63"/>
      <c r="R28" s="63"/>
      <c r="S28" s="63"/>
      <c r="T28" s="63"/>
      <c r="U28" s="63"/>
      <c r="V28" s="63"/>
      <c r="W28" s="63"/>
      <c r="X28" s="63"/>
      <c r="Y28" s="63"/>
      <c r="BC28" s="12"/>
      <c r="BD28" s="6"/>
      <c r="BE28" s="6"/>
      <c r="BF28" s="6"/>
      <c r="BG28" s="6"/>
      <c r="BH28" s="5"/>
      <c r="BI28" s="6"/>
      <c r="BJ28" s="6"/>
      <c r="BK28" s="6"/>
      <c r="BL28" s="6"/>
      <c r="BM28" s="5"/>
      <c r="BN28" s="6"/>
      <c r="BO28" s="6"/>
      <c r="BP28" s="6"/>
      <c r="BQ28" s="6"/>
      <c r="BR28" s="5"/>
      <c r="BS28" s="6"/>
      <c r="BT28" s="6"/>
      <c r="BU28" s="6"/>
      <c r="BV28" s="6"/>
      <c r="BW28" s="6"/>
      <c r="BX28" s="6"/>
      <c r="BY28" s="6"/>
      <c r="BZ28" s="13"/>
      <c r="CA28" s="7"/>
      <c r="CB28" s="7"/>
      <c r="CC28" s="7"/>
      <c r="CD28" s="7"/>
    </row>
    <row r="29" spans="1:82">
      <c r="A29" s="92" t="s">
        <v>379</v>
      </c>
      <c r="B29" s="63"/>
      <c r="C29" s="798"/>
      <c r="D29" s="144" t="str">
        <f>IF(C29="","",(C29*100)/C$38)</f>
        <v/>
      </c>
      <c r="E29" s="858"/>
      <c r="F29" s="63"/>
      <c r="G29" s="63"/>
      <c r="H29" s="63"/>
      <c r="I29" s="63"/>
      <c r="J29" s="63"/>
      <c r="K29" s="170"/>
      <c r="L29" s="170"/>
      <c r="M29" s="63"/>
      <c r="N29" s="63"/>
      <c r="O29" s="63"/>
      <c r="P29" s="63"/>
      <c r="Q29" s="63"/>
      <c r="R29" s="63"/>
      <c r="S29" s="63"/>
      <c r="T29" s="63"/>
      <c r="U29" s="63"/>
      <c r="V29" s="63"/>
      <c r="W29" s="63"/>
      <c r="X29" s="63"/>
      <c r="Y29" s="63"/>
      <c r="BC29" s="12"/>
      <c r="BD29" s="6"/>
      <c r="BE29" s="6"/>
      <c r="BF29" s="6"/>
      <c r="BG29" s="6"/>
      <c r="BH29" s="5"/>
      <c r="BI29" s="6"/>
      <c r="BJ29" s="6"/>
      <c r="BK29" s="6"/>
      <c r="BL29" s="6"/>
      <c r="BM29" s="5"/>
      <c r="BN29" s="6"/>
      <c r="BO29" s="6"/>
      <c r="BP29" s="6"/>
      <c r="BQ29" s="6"/>
      <c r="BR29" s="5"/>
      <c r="BS29" s="6"/>
      <c r="BT29" s="6"/>
      <c r="BU29" s="6"/>
      <c r="BV29" s="6"/>
      <c r="BW29" s="6"/>
      <c r="BX29" s="6"/>
      <c r="BY29" s="6"/>
      <c r="BZ29" s="13"/>
      <c r="CA29" s="7"/>
      <c r="CB29" s="7"/>
      <c r="CC29" s="7"/>
      <c r="CD29" s="7"/>
    </row>
    <row r="30" spans="1:82" ht="12.75" customHeight="1">
      <c r="A30" s="95" t="s">
        <v>380</v>
      </c>
      <c r="B30" s="68"/>
      <c r="C30" s="798"/>
      <c r="D30" s="144" t="str">
        <f>IF(C30="","",(C30*100)/C$38)</f>
        <v/>
      </c>
      <c r="E30" s="858"/>
      <c r="F30" s="63"/>
      <c r="G30" s="63"/>
      <c r="H30" s="63"/>
      <c r="I30" s="63"/>
      <c r="J30" s="63"/>
      <c r="K30" s="63"/>
      <c r="L30" s="63"/>
      <c r="M30" s="63"/>
      <c r="N30" s="63"/>
      <c r="O30" s="63"/>
      <c r="P30" s="63"/>
      <c r="Q30" s="63"/>
      <c r="R30" s="63"/>
      <c r="S30" s="63"/>
      <c r="T30" s="63"/>
      <c r="U30" s="63"/>
      <c r="V30" s="63"/>
      <c r="W30" s="63"/>
      <c r="X30" s="63"/>
      <c r="Y30" s="63"/>
      <c r="BC30" s="12"/>
      <c r="BD30" s="6"/>
      <c r="BE30" s="6"/>
      <c r="BF30" s="6"/>
      <c r="BG30" s="6"/>
      <c r="BH30" s="5"/>
      <c r="BI30" s="6"/>
      <c r="BJ30" s="6"/>
      <c r="BK30" s="6"/>
      <c r="BL30" s="6"/>
      <c r="BM30" s="5"/>
      <c r="BN30" s="6"/>
      <c r="BO30" s="6"/>
      <c r="BP30" s="6"/>
      <c r="BQ30" s="6"/>
      <c r="BR30" s="5"/>
      <c r="BS30" s="6"/>
      <c r="BT30" s="6"/>
      <c r="BU30" s="6"/>
      <c r="BV30" s="6"/>
      <c r="BW30" s="6"/>
      <c r="BX30" s="6"/>
      <c r="BY30" s="6"/>
      <c r="BZ30" s="13"/>
      <c r="CA30" s="7"/>
      <c r="CB30" s="7"/>
      <c r="CC30" s="7"/>
      <c r="CD30" s="7"/>
    </row>
    <row r="31" spans="1:82" ht="13.8" thickBot="1">
      <c r="A31" s="181" t="s">
        <v>475</v>
      </c>
      <c r="B31" s="182"/>
      <c r="C31" s="183">
        <f>C29+C30</f>
        <v>0</v>
      </c>
      <c r="D31" s="184" t="str">
        <f>IF(C31=0,"",(C31*100)/C$38)</f>
        <v/>
      </c>
      <c r="E31" s="63"/>
      <c r="F31" s="63"/>
      <c r="G31" s="63"/>
      <c r="H31" s="63"/>
      <c r="I31" s="63"/>
      <c r="J31" s="63"/>
      <c r="K31" s="63"/>
      <c r="L31" s="63"/>
      <c r="M31" s="63"/>
      <c r="N31" s="63"/>
      <c r="O31" s="63"/>
      <c r="P31" s="63"/>
      <c r="Q31" s="63"/>
      <c r="R31" s="63"/>
      <c r="S31" s="63"/>
      <c r="T31" s="63"/>
      <c r="U31" s="63"/>
      <c r="V31" s="63"/>
      <c r="W31" s="63"/>
      <c r="X31" s="63"/>
      <c r="Y31" s="63"/>
      <c r="BC31" s="12"/>
      <c r="BD31" s="6"/>
      <c r="BE31" s="6"/>
      <c r="BF31" s="6"/>
      <c r="BG31" s="6"/>
      <c r="BH31" s="5"/>
      <c r="BI31" s="6"/>
      <c r="BJ31" s="6"/>
      <c r="BK31" s="6"/>
      <c r="BL31" s="6"/>
      <c r="BM31" s="5"/>
      <c r="BN31" s="6"/>
      <c r="BO31" s="6"/>
      <c r="BP31" s="6"/>
      <c r="BQ31" s="6"/>
      <c r="BR31" s="5"/>
      <c r="BS31" s="6"/>
      <c r="BT31" s="6"/>
      <c r="BU31" s="6"/>
      <c r="BV31" s="6"/>
      <c r="BW31" s="6"/>
      <c r="BX31" s="6"/>
      <c r="BY31" s="6"/>
      <c r="BZ31" s="5"/>
      <c r="CA31" s="7"/>
      <c r="CB31" s="7"/>
      <c r="CC31" s="7"/>
      <c r="CD31" s="7"/>
    </row>
    <row r="32" spans="1:82" ht="13.8" thickTop="1">
      <c r="A32" s="793"/>
      <c r="B32" s="67"/>
      <c r="C32" s="792"/>
      <c r="D32" s="835"/>
      <c r="E32" s="63"/>
      <c r="F32" s="63"/>
      <c r="G32" s="63"/>
      <c r="H32" s="63"/>
      <c r="I32" s="63"/>
      <c r="J32" s="63"/>
      <c r="K32" s="63"/>
      <c r="L32" s="63"/>
      <c r="M32" s="63"/>
      <c r="N32" s="63"/>
      <c r="O32" s="63"/>
      <c r="P32" s="63"/>
      <c r="Q32" s="63"/>
      <c r="R32" s="63"/>
      <c r="S32" s="63"/>
      <c r="T32" s="63"/>
      <c r="U32" s="63"/>
      <c r="V32" s="63"/>
      <c r="W32" s="63"/>
      <c r="X32" s="63"/>
      <c r="Y32" s="63"/>
      <c r="BC32" s="12"/>
      <c r="BD32" s="6"/>
      <c r="BE32" s="6"/>
      <c r="BF32" s="6"/>
      <c r="BG32" s="6"/>
      <c r="BH32" s="5"/>
      <c r="BI32" s="6"/>
      <c r="BJ32" s="6"/>
      <c r="BK32" s="6"/>
      <c r="BL32" s="6"/>
      <c r="BM32" s="5"/>
      <c r="BN32" s="6"/>
      <c r="BO32" s="6"/>
      <c r="BP32" s="6"/>
      <c r="BQ32" s="6"/>
      <c r="BR32" s="5"/>
      <c r="BS32" s="6"/>
      <c r="BT32" s="6"/>
      <c r="BU32" s="6"/>
      <c r="BV32" s="6"/>
      <c r="BW32" s="6"/>
      <c r="BX32" s="6"/>
      <c r="BY32" s="6"/>
      <c r="BZ32" s="5"/>
      <c r="CA32" s="7"/>
      <c r="CB32" s="7"/>
      <c r="CC32" s="7"/>
      <c r="CD32" s="7"/>
    </row>
    <row r="33" spans="1:82" ht="12.75" customHeight="1">
      <c r="A33" s="140" t="s">
        <v>465</v>
      </c>
      <c r="B33" s="67"/>
      <c r="C33" s="792"/>
      <c r="D33" s="836"/>
      <c r="E33" s="63"/>
      <c r="F33" s="797"/>
      <c r="G33" s="797"/>
      <c r="H33" s="797"/>
      <c r="I33" s="797"/>
      <c r="J33" s="797"/>
      <c r="K33" s="63"/>
      <c r="L33" s="63"/>
      <c r="M33" s="63"/>
      <c r="N33" s="63"/>
      <c r="O33" s="63"/>
      <c r="P33" s="63"/>
      <c r="Q33" s="63"/>
      <c r="R33" s="63"/>
      <c r="S33" s="63"/>
      <c r="T33" s="63"/>
      <c r="U33" s="63"/>
      <c r="V33" s="63"/>
      <c r="W33" s="63"/>
      <c r="X33" s="63"/>
      <c r="Y33" s="63"/>
      <c r="BC33" s="12"/>
      <c r="BD33" s="6"/>
      <c r="BE33" s="6"/>
      <c r="BF33" s="6"/>
      <c r="BG33" s="6"/>
      <c r="BH33" s="5"/>
      <c r="BI33" s="6"/>
      <c r="BJ33" s="6"/>
      <c r="BK33" s="6"/>
      <c r="BL33" s="6"/>
      <c r="BM33" s="5"/>
      <c r="BN33" s="6"/>
      <c r="BO33" s="6"/>
      <c r="BP33" s="6"/>
      <c r="BQ33" s="6"/>
      <c r="BR33" s="5"/>
      <c r="BS33" s="6"/>
      <c r="BT33" s="6"/>
      <c r="BU33" s="6"/>
      <c r="BV33" s="6"/>
      <c r="BW33" s="6"/>
      <c r="BX33" s="6"/>
      <c r="BY33" s="6"/>
      <c r="BZ33" s="5"/>
      <c r="CA33" s="7"/>
      <c r="CB33" s="7"/>
      <c r="CC33" s="7"/>
      <c r="CD33" s="7"/>
    </row>
    <row r="34" spans="1:82">
      <c r="A34" s="92" t="s">
        <v>468</v>
      </c>
      <c r="B34" s="67"/>
      <c r="C34" s="798"/>
      <c r="D34" s="144" t="str">
        <f>IF(C34="","",(C34*100)/C$38)</f>
        <v/>
      </c>
      <c r="E34" s="63"/>
      <c r="F34" s="797"/>
      <c r="G34" s="797"/>
      <c r="H34" s="797"/>
      <c r="I34" s="797"/>
      <c r="J34" s="797"/>
      <c r="K34" s="63"/>
      <c r="L34" s="63"/>
      <c r="M34" s="63"/>
      <c r="N34" s="63"/>
      <c r="O34" s="63"/>
      <c r="P34" s="63"/>
      <c r="Q34" s="63"/>
      <c r="R34" s="63"/>
      <c r="S34" s="63"/>
      <c r="T34" s="63"/>
      <c r="U34" s="63"/>
      <c r="V34" s="63"/>
      <c r="W34" s="63"/>
      <c r="X34" s="63"/>
      <c r="Y34" s="63"/>
      <c r="BC34" s="12"/>
      <c r="BD34" s="6"/>
      <c r="BE34" s="6"/>
      <c r="BF34" s="6"/>
      <c r="BG34" s="6"/>
      <c r="BH34" s="5"/>
      <c r="BI34" s="6"/>
      <c r="BJ34" s="6"/>
      <c r="BK34" s="6"/>
      <c r="BL34" s="6"/>
      <c r="BM34" s="5"/>
      <c r="BN34" s="6"/>
      <c r="BO34" s="6"/>
      <c r="BP34" s="6"/>
      <c r="BQ34" s="6"/>
      <c r="BR34" s="5"/>
      <c r="BS34" s="6"/>
      <c r="BT34" s="6"/>
      <c r="BU34" s="6"/>
      <c r="BV34" s="6"/>
      <c r="BW34" s="6"/>
      <c r="BX34" s="6"/>
      <c r="BY34" s="6"/>
      <c r="BZ34" s="5"/>
      <c r="CA34" s="7"/>
      <c r="CB34" s="7"/>
      <c r="CC34" s="7"/>
      <c r="CD34" s="7"/>
    </row>
    <row r="35" spans="1:82">
      <c r="A35" s="92" t="s">
        <v>467</v>
      </c>
      <c r="B35" s="852"/>
      <c r="C35" s="798"/>
      <c r="D35" s="144" t="str">
        <f>IF(C35="","",(C35*100)/C$38)</f>
        <v/>
      </c>
      <c r="E35" s="63"/>
      <c r="F35" s="797"/>
      <c r="G35" s="797"/>
      <c r="H35" s="797"/>
      <c r="I35" s="797"/>
      <c r="J35" s="797"/>
      <c r="K35" s="63"/>
      <c r="L35" s="63"/>
      <c r="M35" s="63"/>
      <c r="N35" s="63"/>
      <c r="O35" s="63"/>
      <c r="P35" s="63"/>
      <c r="Q35" s="63"/>
      <c r="R35" s="63"/>
      <c r="S35" s="63"/>
      <c r="T35" s="63"/>
      <c r="U35" s="63"/>
      <c r="V35" s="63"/>
      <c r="W35" s="63"/>
      <c r="X35" s="63"/>
      <c r="Y35" s="63"/>
      <c r="BC35" s="12"/>
      <c r="BD35" s="6"/>
      <c r="BE35" s="6"/>
      <c r="BF35" s="6"/>
      <c r="BG35" s="6"/>
      <c r="BH35" s="5"/>
      <c r="BI35" s="6"/>
      <c r="BJ35" s="6"/>
      <c r="BK35" s="6"/>
      <c r="BL35" s="6"/>
      <c r="BM35" s="5"/>
      <c r="BN35" s="6"/>
      <c r="BO35" s="6"/>
      <c r="BP35" s="6"/>
      <c r="BQ35" s="6"/>
      <c r="BR35" s="5"/>
      <c r="BS35" s="6"/>
      <c r="BT35" s="6"/>
      <c r="BU35" s="6"/>
      <c r="BV35" s="6"/>
      <c r="BW35" s="6"/>
      <c r="BX35" s="6"/>
      <c r="BY35" s="6"/>
      <c r="BZ35" s="5"/>
      <c r="CA35" s="7"/>
      <c r="CB35" s="7"/>
      <c r="CC35" s="7"/>
      <c r="CD35" s="7"/>
    </row>
    <row r="36" spans="1:82" ht="13.8" thickBot="1">
      <c r="A36" s="181" t="s">
        <v>476</v>
      </c>
      <c r="B36" s="794"/>
      <c r="C36" s="175">
        <f>C34+C35</f>
        <v>0</v>
      </c>
      <c r="D36" s="184" t="str">
        <f>IF(C36=0,"",(C36*100)/C$38)</f>
        <v/>
      </c>
      <c r="E36" s="63"/>
      <c r="F36" s="797"/>
      <c r="G36" s="797"/>
      <c r="H36" s="797"/>
      <c r="I36" s="797"/>
      <c r="J36" s="797"/>
      <c r="K36" s="63"/>
      <c r="L36" s="63"/>
      <c r="M36" s="63"/>
      <c r="N36" s="63"/>
      <c r="O36" s="63"/>
      <c r="P36" s="63"/>
      <c r="Q36" s="63"/>
      <c r="R36" s="63"/>
      <c r="S36" s="63"/>
      <c r="T36" s="63"/>
      <c r="U36" s="63"/>
      <c r="V36" s="63"/>
      <c r="W36" s="63"/>
      <c r="X36" s="63"/>
      <c r="Y36" s="63"/>
      <c r="BC36" s="12"/>
      <c r="BD36" s="6"/>
      <c r="BE36" s="6"/>
      <c r="BF36" s="6"/>
      <c r="BG36" s="6"/>
      <c r="BH36" s="5"/>
      <c r="BI36" s="6"/>
      <c r="BJ36" s="6"/>
      <c r="BK36" s="6"/>
      <c r="BL36" s="6"/>
      <c r="BM36" s="5"/>
      <c r="BN36" s="6"/>
      <c r="BO36" s="6"/>
      <c r="BP36" s="6"/>
      <c r="BQ36" s="6"/>
      <c r="BR36" s="5"/>
      <c r="BS36" s="6"/>
      <c r="BT36" s="6"/>
      <c r="BU36" s="6"/>
      <c r="BV36" s="6"/>
      <c r="BW36" s="6"/>
      <c r="BX36" s="6"/>
      <c r="BY36" s="6"/>
      <c r="BZ36" s="5"/>
      <c r="CA36" s="7"/>
      <c r="CB36" s="7"/>
      <c r="CC36" s="7"/>
      <c r="CD36" s="7"/>
    </row>
    <row r="37" spans="1:82" ht="16.2" thickTop="1">
      <c r="A37" s="130"/>
      <c r="B37" s="185"/>
      <c r="C37" s="186"/>
      <c r="D37" s="837"/>
      <c r="E37" s="63"/>
      <c r="F37" s="797"/>
      <c r="G37" s="797"/>
      <c r="H37" s="797"/>
      <c r="I37" s="797"/>
      <c r="J37" s="797"/>
      <c r="K37" s="63"/>
      <c r="L37" s="63"/>
      <c r="M37" s="63"/>
      <c r="N37" s="63"/>
      <c r="O37" s="63"/>
      <c r="P37" s="63"/>
      <c r="Q37" s="63"/>
      <c r="R37" s="63"/>
      <c r="S37" s="63"/>
      <c r="T37" s="63"/>
      <c r="U37" s="63"/>
      <c r="V37" s="63"/>
      <c r="W37" s="63"/>
      <c r="X37" s="63"/>
      <c r="Y37" s="63"/>
      <c r="BC37" s="12"/>
      <c r="BD37" s="6"/>
      <c r="BE37" s="6"/>
      <c r="BF37" s="6"/>
      <c r="BG37" s="6"/>
      <c r="BH37" s="5"/>
      <c r="BI37" s="6"/>
      <c r="BJ37" s="6"/>
      <c r="BK37" s="6"/>
      <c r="BL37" s="6"/>
      <c r="BM37" s="5"/>
      <c r="BN37" s="6"/>
      <c r="BO37" s="6"/>
      <c r="BP37" s="6"/>
      <c r="BQ37" s="6"/>
      <c r="BR37" s="5"/>
      <c r="BS37" s="6"/>
      <c r="BT37" s="6"/>
      <c r="BU37" s="6"/>
      <c r="BV37" s="6"/>
      <c r="BW37" s="6"/>
      <c r="BX37" s="6"/>
      <c r="BY37" s="6"/>
      <c r="BZ37" s="5"/>
      <c r="CA37" s="7"/>
      <c r="CB37" s="7"/>
      <c r="CC37" s="7"/>
      <c r="CD37" s="7"/>
    </row>
    <row r="38" spans="1:82" ht="15">
      <c r="A38" s="955" t="s">
        <v>515</v>
      </c>
      <c r="B38" s="956"/>
      <c r="C38" s="957">
        <f>C14+C26+C31+C36</f>
        <v>0</v>
      </c>
      <c r="D38" s="960" t="str">
        <f>IF(C38=0,"",(C38*100)/C$38)</f>
        <v/>
      </c>
      <c r="E38" s="63"/>
      <c r="F38" s="63"/>
      <c r="G38" s="63"/>
      <c r="H38" s="63"/>
      <c r="I38" s="63"/>
      <c r="J38" s="63"/>
      <c r="K38" s="63"/>
      <c r="L38" s="63"/>
      <c r="M38" s="63"/>
      <c r="N38" s="63"/>
      <c r="O38" s="63"/>
      <c r="P38" s="63"/>
      <c r="Q38" s="63"/>
      <c r="R38" s="63"/>
      <c r="S38" s="63"/>
      <c r="T38" s="63"/>
      <c r="U38" s="63"/>
      <c r="V38" s="63"/>
      <c r="W38" s="63"/>
      <c r="X38" s="63"/>
      <c r="Y38" s="63"/>
      <c r="BC38" s="12"/>
      <c r="BD38" s="6"/>
      <c r="BE38" s="6"/>
      <c r="BF38" s="6"/>
      <c r="BG38" s="6"/>
      <c r="BH38" s="5"/>
      <c r="BI38" s="6"/>
      <c r="BJ38" s="6"/>
      <c r="BK38" s="6"/>
      <c r="BL38" s="6"/>
      <c r="BM38" s="5"/>
      <c r="BN38" s="6"/>
      <c r="BO38" s="6"/>
      <c r="BP38" s="6"/>
      <c r="BQ38" s="6"/>
      <c r="BR38" s="5"/>
      <c r="BS38" s="6"/>
      <c r="BT38" s="6"/>
      <c r="BU38" s="6"/>
      <c r="BV38" s="6"/>
      <c r="BW38" s="6"/>
      <c r="BX38" s="6"/>
      <c r="BY38" s="6"/>
      <c r="BZ38" s="5"/>
      <c r="CA38" s="7"/>
      <c r="CB38" s="7"/>
      <c r="CC38" s="7"/>
      <c r="CD38" s="7"/>
    </row>
    <row r="39" spans="1:82" ht="15">
      <c r="A39" s="187" t="str">
        <f>IF(C6-C38=0,"",IF(C6&gt;C38,CONCATENATE("Hinweis: Gesamtfinanzierung um ",TEXT(C41,"???.???")," EUR niedriger als Kapitalbedarf."),CONCATENATE("Hinweis: Gesamtfinanzierung um ",TEXT(C41*(-1),"???.???"),"  EUR höher als Kapitalbedarf.")))</f>
        <v/>
      </c>
      <c r="B39" s="107"/>
      <c r="C39" s="188"/>
      <c r="D39" s="63"/>
      <c r="E39" s="110"/>
      <c r="F39" s="110"/>
      <c r="G39" s="110"/>
      <c r="H39" s="63"/>
      <c r="I39" s="63"/>
      <c r="J39" s="63"/>
      <c r="K39" s="63"/>
      <c r="L39" s="63"/>
      <c r="M39" s="63"/>
      <c r="N39" s="63"/>
      <c r="O39" s="63"/>
      <c r="P39" s="63"/>
      <c r="Q39" s="63"/>
      <c r="R39" s="63"/>
      <c r="S39" s="63"/>
      <c r="T39" s="63"/>
      <c r="U39" s="63"/>
      <c r="V39" s="63"/>
      <c r="W39" s="63"/>
      <c r="X39" s="63"/>
      <c r="Y39" s="63"/>
      <c r="BC39" s="12"/>
      <c r="BD39" s="6"/>
      <c r="BE39" s="6"/>
      <c r="BF39" s="6"/>
      <c r="BG39" s="6"/>
      <c r="BH39" s="5"/>
      <c r="BI39" s="6"/>
      <c r="BJ39" s="6"/>
      <c r="BK39" s="6"/>
      <c r="BL39" s="6"/>
      <c r="BM39" s="5"/>
      <c r="BN39" s="6"/>
      <c r="BO39" s="6"/>
      <c r="BP39" s="6"/>
      <c r="BQ39" s="6"/>
      <c r="BR39" s="5"/>
      <c r="BS39" s="6"/>
      <c r="BT39" s="6"/>
      <c r="BU39" s="6"/>
      <c r="BV39" s="6"/>
      <c r="BW39" s="6"/>
      <c r="BX39" s="6"/>
      <c r="BY39" s="6"/>
      <c r="BZ39" s="5"/>
      <c r="CA39" s="7"/>
      <c r="CB39" s="7"/>
      <c r="CC39" s="7"/>
      <c r="CD39" s="7"/>
    </row>
    <row r="40" spans="1:82" ht="15">
      <c r="A40" s="187"/>
      <c r="B40" s="107"/>
      <c r="D40" s="63"/>
      <c r="E40" s="63"/>
      <c r="F40" s="63"/>
      <c r="G40" s="63"/>
      <c r="H40" s="63"/>
      <c r="I40" s="63"/>
      <c r="J40" s="63"/>
      <c r="K40" s="63"/>
      <c r="L40" s="63"/>
      <c r="M40" s="63"/>
      <c r="N40" s="63"/>
      <c r="O40" s="63"/>
      <c r="P40" s="63"/>
      <c r="Q40" s="63"/>
      <c r="R40" s="63"/>
      <c r="S40" s="63"/>
      <c r="T40" s="63"/>
      <c r="U40" s="63"/>
      <c r="V40" s="63"/>
      <c r="W40" s="63"/>
      <c r="X40" s="63"/>
      <c r="Y40" s="63"/>
      <c r="BC40" s="12"/>
      <c r="BD40" s="6"/>
      <c r="BE40" s="6"/>
      <c r="BF40" s="6"/>
      <c r="BG40" s="6"/>
      <c r="BH40" s="5"/>
      <c r="BI40" s="6"/>
      <c r="BJ40" s="6"/>
      <c r="BK40" s="6"/>
      <c r="BL40" s="6"/>
      <c r="BM40" s="5"/>
      <c r="BN40" s="6"/>
      <c r="BO40" s="6"/>
      <c r="BP40" s="6"/>
      <c r="BQ40" s="6"/>
      <c r="BR40" s="5"/>
      <c r="BS40" s="6"/>
      <c r="BT40" s="6"/>
      <c r="BU40" s="6"/>
      <c r="BV40" s="6"/>
      <c r="BW40" s="6"/>
      <c r="BX40" s="6"/>
      <c r="BY40" s="6"/>
      <c r="BZ40" s="5"/>
      <c r="CA40" s="7"/>
      <c r="CB40" s="7"/>
      <c r="CC40" s="7"/>
      <c r="CD40" s="7"/>
    </row>
    <row r="41" spans="1:82">
      <c r="A41" s="107"/>
      <c r="B41" s="63"/>
      <c r="C41" s="795">
        <f>C6-C38</f>
        <v>0</v>
      </c>
      <c r="D41" s="109"/>
      <c r="E41" s="110"/>
      <c r="F41" s="63"/>
      <c r="G41" s="63"/>
      <c r="H41" s="63"/>
      <c r="I41" s="63"/>
      <c r="J41" s="63"/>
      <c r="K41" s="63"/>
      <c r="L41" s="63"/>
      <c r="M41" s="63"/>
      <c r="N41" s="63"/>
      <c r="O41" s="63"/>
      <c r="P41" s="63"/>
      <c r="Q41" s="63"/>
      <c r="R41" s="63"/>
      <c r="S41" s="63"/>
      <c r="T41" s="63"/>
      <c r="U41" s="63"/>
      <c r="V41" s="63"/>
      <c r="W41" s="63"/>
      <c r="X41" s="63"/>
      <c r="Y41" s="63"/>
      <c r="BC41" s="12"/>
      <c r="BD41" s="6"/>
      <c r="BE41" s="6"/>
      <c r="BF41" s="6"/>
      <c r="BG41" s="6"/>
      <c r="BH41" s="5"/>
      <c r="BI41" s="6"/>
      <c r="BJ41" s="6"/>
      <c r="BK41" s="6"/>
      <c r="BL41" s="6"/>
      <c r="BM41" s="5"/>
      <c r="BN41" s="6"/>
      <c r="BO41" s="6"/>
      <c r="BP41" s="6"/>
      <c r="BQ41" s="6"/>
      <c r="BR41" s="5"/>
      <c r="BS41" s="6"/>
      <c r="BT41" s="6"/>
      <c r="BU41" s="6"/>
      <c r="BV41" s="6"/>
      <c r="BW41" s="6"/>
      <c r="BX41" s="6"/>
      <c r="BY41" s="6"/>
      <c r="BZ41" s="5"/>
      <c r="CA41" s="7"/>
      <c r="CB41" s="7"/>
      <c r="CC41" s="7"/>
      <c r="CD41" s="7"/>
    </row>
    <row r="42" spans="1:82">
      <c r="A42" s="107"/>
      <c r="B42" s="63"/>
      <c r="C42" s="63"/>
      <c r="D42" s="63"/>
      <c r="E42" s="63"/>
      <c r="F42" s="63"/>
      <c r="G42" s="63"/>
      <c r="H42" s="63"/>
      <c r="I42" s="63"/>
      <c r="J42" s="63"/>
      <c r="K42" s="63"/>
      <c r="L42" s="63"/>
      <c r="M42" s="63"/>
      <c r="N42" s="63"/>
      <c r="O42" s="63"/>
      <c r="P42" s="63"/>
      <c r="Q42" s="63"/>
      <c r="R42" s="63"/>
      <c r="S42" s="63"/>
      <c r="T42" s="63"/>
      <c r="U42" s="63"/>
      <c r="V42" s="63"/>
      <c r="W42" s="63"/>
      <c r="X42" s="63"/>
      <c r="Y42" s="63"/>
      <c r="BC42" s="12"/>
      <c r="BD42" s="6"/>
      <c r="BE42" s="6"/>
      <c r="BF42" s="6"/>
      <c r="BG42" s="6"/>
      <c r="BH42" s="5"/>
      <c r="BI42" s="6"/>
      <c r="BJ42" s="6"/>
      <c r="BK42" s="6"/>
      <c r="BL42" s="6"/>
      <c r="BM42" s="5"/>
      <c r="BN42" s="6"/>
      <c r="BO42" s="6"/>
      <c r="BP42" s="6"/>
      <c r="BQ42" s="6"/>
      <c r="BR42" s="5"/>
      <c r="BS42" s="6"/>
      <c r="BT42" s="6"/>
      <c r="BU42" s="6"/>
      <c r="BV42" s="6"/>
      <c r="BW42" s="6"/>
      <c r="BX42" s="6"/>
      <c r="BY42" s="6"/>
      <c r="BZ42" s="5"/>
      <c r="CA42" s="7"/>
      <c r="CB42" s="7"/>
      <c r="CC42" s="7"/>
      <c r="CD42" s="7"/>
    </row>
    <row r="43" spans="1:8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BC43" s="12"/>
      <c r="BD43" s="6"/>
      <c r="BE43" s="6"/>
      <c r="BF43" s="6"/>
      <c r="BG43" s="6"/>
      <c r="BH43" s="5"/>
      <c r="BI43" s="6"/>
      <c r="BJ43" s="6"/>
      <c r="BK43" s="6"/>
      <c r="BL43" s="6"/>
      <c r="BM43" s="5"/>
      <c r="BN43" s="6"/>
      <c r="BO43" s="6"/>
      <c r="BP43" s="6"/>
      <c r="BQ43" s="6"/>
      <c r="BR43" s="5"/>
      <c r="BS43" s="6"/>
      <c r="BT43" s="6"/>
      <c r="BU43" s="6"/>
      <c r="BV43" s="6"/>
      <c r="BW43" s="6"/>
      <c r="BX43" s="6"/>
      <c r="BY43" s="6"/>
      <c r="BZ43" s="5"/>
      <c r="CA43" s="7"/>
      <c r="CB43" s="7"/>
      <c r="CC43" s="7"/>
      <c r="CD43" s="7"/>
    </row>
    <row r="44" spans="1:8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BC44" s="12"/>
      <c r="BD44" s="6"/>
      <c r="BE44" s="6"/>
      <c r="BF44" s="6"/>
      <c r="BG44" s="6"/>
      <c r="BH44" s="5"/>
      <c r="BI44" s="6"/>
      <c r="BJ44" s="6"/>
      <c r="BK44" s="6"/>
      <c r="BL44" s="6"/>
      <c r="BM44" s="5"/>
      <c r="BN44" s="6"/>
      <c r="BO44" s="6"/>
      <c r="BP44" s="6"/>
      <c r="BQ44" s="6"/>
      <c r="BR44" s="5"/>
      <c r="BS44" s="6"/>
      <c r="BT44" s="6"/>
      <c r="BU44" s="6"/>
      <c r="BV44" s="6"/>
      <c r="BW44" s="6"/>
      <c r="BX44" s="6"/>
      <c r="BY44" s="6"/>
      <c r="BZ44" s="5"/>
      <c r="CA44" s="7"/>
      <c r="CB44" s="7"/>
      <c r="CC44" s="7"/>
      <c r="CD44" s="7"/>
    </row>
    <row r="45" spans="1:8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BC45" s="12"/>
      <c r="BD45" s="6"/>
      <c r="BE45" s="6"/>
      <c r="BF45" s="6"/>
      <c r="BG45" s="6"/>
      <c r="BH45" s="5"/>
      <c r="BI45" s="6"/>
      <c r="BJ45" s="6"/>
      <c r="BK45" s="6"/>
      <c r="BL45" s="6"/>
      <c r="BM45" s="5"/>
      <c r="BN45" s="6"/>
      <c r="BO45" s="6"/>
      <c r="BP45" s="6"/>
      <c r="BQ45" s="6"/>
      <c r="BR45" s="5"/>
      <c r="BS45" s="6"/>
      <c r="BT45" s="6"/>
      <c r="BU45" s="6"/>
      <c r="BV45" s="6"/>
      <c r="BW45" s="5"/>
      <c r="BX45" s="5"/>
      <c r="BY45" s="5"/>
      <c r="BZ45" s="5"/>
      <c r="CA45" s="7"/>
      <c r="CB45" s="7"/>
      <c r="CC45" s="7"/>
      <c r="CD45" s="7"/>
    </row>
    <row r="46" spans="1:82">
      <c r="A46" s="63"/>
      <c r="B46" s="63"/>
      <c r="C46" s="63"/>
      <c r="D46" s="63"/>
      <c r="E46" s="63"/>
      <c r="F46" s="63"/>
      <c r="G46" s="63"/>
      <c r="H46" s="63"/>
      <c r="I46" s="63"/>
      <c r="J46" s="63"/>
      <c r="K46" s="63"/>
      <c r="L46" s="63"/>
      <c r="M46" s="63"/>
      <c r="N46" s="63"/>
      <c r="O46" s="63"/>
      <c r="P46" s="63"/>
      <c r="Q46" s="63"/>
      <c r="R46" s="63"/>
      <c r="S46" s="63"/>
      <c r="T46" s="63"/>
      <c r="U46" s="63"/>
      <c r="V46" s="63"/>
      <c r="W46" s="63"/>
      <c r="X46" s="63"/>
      <c r="Y46" s="63"/>
      <c r="BC46" s="12"/>
      <c r="BD46" s="6"/>
      <c r="BE46" s="6"/>
      <c r="BF46" s="6"/>
      <c r="BG46" s="6"/>
      <c r="BH46" s="5"/>
      <c r="BI46" s="6"/>
      <c r="BJ46" s="6"/>
      <c r="BK46" s="6"/>
      <c r="BL46" s="6"/>
      <c r="BM46" s="5"/>
      <c r="BN46" s="6"/>
      <c r="BO46" s="6"/>
      <c r="BP46" s="6"/>
      <c r="BQ46" s="6"/>
      <c r="BR46" s="5"/>
      <c r="BS46" s="6"/>
      <c r="BT46" s="6"/>
      <c r="BU46" s="6"/>
      <c r="BV46" s="6"/>
      <c r="BW46" s="5"/>
      <c r="BX46" s="5"/>
      <c r="BY46" s="5"/>
      <c r="BZ46" s="5"/>
      <c r="CA46" s="7"/>
      <c r="CB46" s="7"/>
      <c r="CC46" s="7"/>
      <c r="CD46" s="7"/>
    </row>
    <row r="47" spans="1:8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BC47" s="12"/>
      <c r="BD47" s="6"/>
      <c r="BE47" s="6"/>
      <c r="BF47" s="6"/>
      <c r="BG47" s="6"/>
      <c r="BH47" s="5"/>
      <c r="BI47" s="6"/>
      <c r="BJ47" s="6"/>
      <c r="BK47" s="6"/>
      <c r="BL47" s="6"/>
      <c r="BM47" s="5"/>
      <c r="BN47" s="6"/>
      <c r="BO47" s="6"/>
      <c r="BP47" s="6"/>
      <c r="BQ47" s="6"/>
      <c r="BR47" s="5"/>
      <c r="BS47" s="6"/>
      <c r="BT47" s="6"/>
      <c r="BU47" s="6"/>
      <c r="BV47" s="6"/>
      <c r="BW47" s="5"/>
      <c r="BX47" s="5"/>
      <c r="BY47" s="5"/>
      <c r="BZ47" s="5"/>
      <c r="CA47" s="7"/>
      <c r="CB47" s="7"/>
      <c r="CC47" s="7"/>
      <c r="CD47" s="7"/>
    </row>
    <row r="48" spans="1:8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BC48" s="12"/>
      <c r="BD48" s="6"/>
      <c r="BE48" s="6"/>
      <c r="BF48" s="6"/>
      <c r="BG48" s="6"/>
      <c r="BH48" s="5"/>
      <c r="BI48" s="6"/>
      <c r="BJ48" s="6"/>
      <c r="BK48" s="6"/>
      <c r="BL48" s="6"/>
      <c r="BM48" s="5"/>
      <c r="BN48" s="6"/>
      <c r="BO48" s="6"/>
      <c r="BP48" s="6"/>
      <c r="BQ48" s="6"/>
      <c r="BR48" s="5"/>
      <c r="BS48" s="6"/>
      <c r="BT48" s="6"/>
      <c r="BU48" s="6"/>
      <c r="BV48" s="6"/>
      <c r="BW48" s="5"/>
      <c r="BX48" s="5"/>
      <c r="BY48" s="5"/>
      <c r="BZ48" s="5"/>
      <c r="CA48" s="7"/>
      <c r="CB48" s="7"/>
      <c r="CC48" s="7"/>
      <c r="CD48" s="7"/>
    </row>
    <row r="49" spans="1:8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BC49" s="12"/>
      <c r="BD49" s="6"/>
      <c r="BE49" s="6"/>
      <c r="BF49" s="6"/>
      <c r="BG49" s="6"/>
      <c r="BH49" s="5"/>
      <c r="BI49" s="6"/>
      <c r="BJ49" s="6"/>
      <c r="BK49" s="6"/>
      <c r="BL49" s="6"/>
      <c r="BM49" s="5"/>
      <c r="BN49" s="6"/>
      <c r="BO49" s="6"/>
      <c r="BP49" s="6"/>
      <c r="BQ49" s="6"/>
      <c r="BR49" s="5"/>
      <c r="BS49" s="6"/>
      <c r="BT49" s="6"/>
      <c r="BU49" s="6"/>
      <c r="BV49" s="6"/>
      <c r="BW49" s="5"/>
      <c r="BX49" s="5"/>
      <c r="BY49" s="5"/>
      <c r="BZ49" s="5"/>
      <c r="CA49" s="7"/>
      <c r="CB49" s="7"/>
      <c r="CC49" s="7"/>
      <c r="CD49" s="7"/>
    </row>
    <row r="50" spans="1:8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BC50" s="12"/>
      <c r="BD50" s="6"/>
      <c r="BE50" s="6"/>
      <c r="BF50" s="6"/>
      <c r="BG50" s="6"/>
      <c r="BH50" s="5"/>
      <c r="BI50" s="6"/>
      <c r="BJ50" s="6"/>
      <c r="BK50" s="6"/>
      <c r="BL50" s="6"/>
      <c r="BM50" s="5"/>
      <c r="BN50" s="6"/>
      <c r="BO50" s="6"/>
      <c r="BP50" s="6"/>
      <c r="BQ50" s="6"/>
      <c r="BR50" s="5"/>
      <c r="BS50" s="6"/>
      <c r="BT50" s="6"/>
      <c r="BU50" s="6"/>
      <c r="BV50" s="6"/>
      <c r="BW50" s="5"/>
      <c r="BX50" s="5"/>
      <c r="BY50" s="5"/>
      <c r="BZ50" s="5"/>
      <c r="CA50" s="7"/>
      <c r="CB50" s="7"/>
      <c r="CC50" s="7"/>
      <c r="CD50" s="7"/>
    </row>
    <row r="51" spans="1:8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BC51" s="12"/>
      <c r="BD51" s="6"/>
      <c r="BE51" s="6"/>
      <c r="BF51" s="6"/>
      <c r="BG51" s="6"/>
      <c r="BH51" s="5"/>
      <c r="BI51" s="6"/>
      <c r="BJ51" s="6"/>
      <c r="BK51" s="6"/>
      <c r="BL51" s="6"/>
      <c r="BM51" s="5"/>
      <c r="BN51" s="6"/>
      <c r="BO51" s="6"/>
      <c r="BP51" s="6"/>
      <c r="BQ51" s="6"/>
      <c r="BR51" s="5"/>
      <c r="BS51" s="6"/>
      <c r="BT51" s="6"/>
      <c r="BU51" s="6"/>
      <c r="BV51" s="6"/>
      <c r="BW51" s="5"/>
      <c r="BX51" s="5"/>
      <c r="BY51" s="5"/>
      <c r="BZ51" s="5"/>
      <c r="CA51" s="7"/>
      <c r="CB51" s="7"/>
      <c r="CC51" s="7"/>
      <c r="CD51" s="7"/>
    </row>
    <row r="52" spans="1:8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BC52" s="12"/>
      <c r="BD52" s="6"/>
      <c r="BE52" s="6"/>
      <c r="BF52" s="6"/>
      <c r="BG52" s="6"/>
      <c r="BH52" s="5"/>
      <c r="BI52" s="6"/>
      <c r="BJ52" s="6"/>
      <c r="BK52" s="6"/>
      <c r="BL52" s="6"/>
      <c r="BM52" s="5"/>
      <c r="BN52" s="6"/>
      <c r="BO52" s="6"/>
      <c r="BP52" s="6"/>
      <c r="BQ52" s="6"/>
      <c r="BR52" s="5"/>
      <c r="BS52" s="6"/>
      <c r="BT52" s="6"/>
      <c r="BU52" s="6"/>
      <c r="BV52" s="6"/>
      <c r="BW52" s="5"/>
      <c r="BX52" s="5"/>
      <c r="BY52" s="5"/>
      <c r="BZ52" s="5"/>
      <c r="CA52" s="7"/>
      <c r="CB52" s="7"/>
      <c r="CC52" s="7"/>
      <c r="CD52" s="7"/>
    </row>
    <row r="53" spans="1:8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BC53" s="12"/>
      <c r="BD53" s="6"/>
      <c r="BE53" s="6"/>
      <c r="BF53" s="6"/>
      <c r="BG53" s="6"/>
      <c r="BH53" s="5"/>
      <c r="BI53" s="6"/>
      <c r="BJ53" s="6"/>
      <c r="BK53" s="6"/>
      <c r="BL53" s="6"/>
      <c r="BM53" s="5"/>
      <c r="BN53" s="6"/>
      <c r="BO53" s="6"/>
      <c r="BP53" s="6"/>
      <c r="BQ53" s="6"/>
      <c r="BR53" s="5"/>
      <c r="BS53" s="6"/>
      <c r="BT53" s="6"/>
      <c r="BU53" s="6"/>
      <c r="BV53" s="6"/>
      <c r="BW53" s="5"/>
      <c r="BX53" s="5"/>
      <c r="BY53" s="5"/>
      <c r="BZ53" s="5"/>
      <c r="CA53" s="7"/>
      <c r="CB53" s="7"/>
      <c r="CC53" s="7"/>
      <c r="CD53" s="7"/>
    </row>
    <row r="54" spans="1:8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BC54" s="12"/>
      <c r="BD54" s="6"/>
      <c r="BE54" s="6"/>
      <c r="BF54" s="6"/>
      <c r="BG54" s="6"/>
      <c r="BH54" s="5"/>
      <c r="BI54" s="6"/>
      <c r="BJ54" s="6"/>
      <c r="BK54" s="6"/>
      <c r="BL54" s="6"/>
      <c r="BM54" s="5"/>
      <c r="BN54" s="6"/>
      <c r="BO54" s="6"/>
      <c r="BP54" s="6"/>
      <c r="BQ54" s="6"/>
      <c r="BR54" s="5"/>
      <c r="BS54" s="6"/>
      <c r="BT54" s="6"/>
      <c r="BU54" s="6"/>
      <c r="BV54" s="6"/>
      <c r="BW54" s="5"/>
      <c r="BX54" s="5"/>
      <c r="BY54" s="5"/>
      <c r="BZ54" s="5"/>
      <c r="CA54" s="7"/>
      <c r="CB54" s="7"/>
      <c r="CC54" s="7"/>
      <c r="CD54" s="7"/>
    </row>
    <row r="55" spans="1:8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BC55" s="12"/>
      <c r="BD55" s="6"/>
      <c r="BE55" s="6"/>
      <c r="BF55" s="6"/>
      <c r="BG55" s="6"/>
      <c r="BH55" s="5"/>
      <c r="BI55" s="6"/>
      <c r="BJ55" s="6"/>
      <c r="BK55" s="6"/>
      <c r="BL55" s="6"/>
      <c r="BM55" s="5"/>
      <c r="BN55" s="5"/>
      <c r="BO55" s="5"/>
      <c r="BP55" s="5"/>
      <c r="BQ55" s="5"/>
      <c r="BR55" s="5"/>
      <c r="BS55" s="5"/>
      <c r="BT55" s="5"/>
      <c r="BU55" s="5"/>
      <c r="BV55" s="5"/>
      <c r="BW55" s="5"/>
      <c r="BX55" s="5"/>
      <c r="BY55" s="5"/>
      <c r="BZ55" s="5"/>
      <c r="CA55" s="7"/>
      <c r="CB55" s="7"/>
      <c r="CC55" s="7"/>
      <c r="CD55" s="7"/>
    </row>
    <row r="56" spans="1:8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BC56" s="5"/>
      <c r="BD56" s="7"/>
      <c r="BE56" s="7"/>
      <c r="BF56" s="7"/>
      <c r="BG56" s="7"/>
      <c r="BH56" s="5"/>
      <c r="BI56" s="7"/>
      <c r="BJ56" s="7"/>
      <c r="BK56" s="7"/>
      <c r="BL56" s="7"/>
      <c r="BM56" s="5"/>
      <c r="BN56" s="7"/>
      <c r="BO56" s="7"/>
      <c r="BP56" s="7"/>
      <c r="BQ56" s="7"/>
      <c r="BR56" s="5"/>
      <c r="BS56" s="7"/>
      <c r="BT56" s="7"/>
      <c r="BU56" s="7"/>
      <c r="BV56" s="7"/>
      <c r="BW56" s="5"/>
      <c r="BX56" s="5"/>
      <c r="BY56" s="5"/>
      <c r="BZ56" s="5"/>
      <c r="CA56" s="7"/>
      <c r="CB56" s="7"/>
      <c r="CC56" s="7"/>
      <c r="CD56" s="7"/>
    </row>
    <row r="57" spans="1:8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BC57" s="5"/>
      <c r="BD57" s="7"/>
      <c r="BE57" s="7"/>
      <c r="BF57" s="7"/>
      <c r="BG57" s="7"/>
      <c r="BH57" s="5"/>
      <c r="BI57" s="7"/>
      <c r="BJ57" s="7"/>
      <c r="BK57" s="7"/>
      <c r="BL57" s="7"/>
      <c r="BM57" s="5"/>
      <c r="BN57" s="7"/>
      <c r="BO57" s="7"/>
      <c r="BP57" s="7"/>
      <c r="BQ57" s="7"/>
      <c r="BR57" s="5"/>
      <c r="BS57" s="7"/>
      <c r="BT57" s="7"/>
      <c r="BU57" s="7"/>
      <c r="BV57" s="7"/>
      <c r="BW57" s="5"/>
      <c r="BX57" s="5"/>
      <c r="BY57" s="5"/>
      <c r="BZ57" s="5"/>
      <c r="CA57" s="7"/>
      <c r="CB57" s="7"/>
      <c r="CC57" s="7"/>
      <c r="CD57" s="7"/>
    </row>
    <row r="58" spans="1:8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8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8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8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8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8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8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1:25">
      <c r="A73" s="63"/>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1:25">
      <c r="A74" s="63"/>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1:25">
      <c r="A75" s="63"/>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1:25">
      <c r="A76" s="63"/>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c r="A77" s="63"/>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1:25">
      <c r="A78" s="63"/>
      <c r="B78" s="63"/>
      <c r="C78" s="63"/>
      <c r="D78" s="63"/>
      <c r="E78" s="63"/>
      <c r="F78" s="63"/>
      <c r="G78" s="63"/>
      <c r="H78" s="63"/>
      <c r="I78" s="63"/>
      <c r="J78" s="63"/>
      <c r="K78" s="63"/>
      <c r="L78" s="63"/>
      <c r="M78" s="63"/>
      <c r="N78" s="63"/>
      <c r="O78" s="63"/>
      <c r="P78" s="63"/>
      <c r="Q78" s="63"/>
      <c r="R78" s="63"/>
      <c r="S78" s="63"/>
      <c r="T78" s="63"/>
      <c r="U78" s="63"/>
      <c r="V78" s="63"/>
      <c r="W78" s="63"/>
      <c r="X78" s="63"/>
      <c r="Y78" s="63"/>
    </row>
  </sheetData>
  <sheetProtection password="EAD7" sheet="1" objects="1" scenarios="1"/>
  <mergeCells count="7">
    <mergeCell ref="K4:L4"/>
    <mergeCell ref="I2:J2"/>
    <mergeCell ref="K24:L28"/>
    <mergeCell ref="G10:J14"/>
    <mergeCell ref="A22:B22"/>
    <mergeCell ref="I26:I27"/>
    <mergeCell ref="A21:B21"/>
  </mergeCells>
  <hyperlinks>
    <hyperlink ref="I2:J2" location="Startseite!C7" display="zurück zur Startseite" xr:uid="{00000000-0004-0000-0500-000000000000}"/>
  </hyperlinks>
  <printOptions horizontalCentered="1"/>
  <pageMargins left="0.62992125984251968" right="0.39370078740157483" top="0.78740157480314965" bottom="0" header="0.51181102362204722" footer="0.51181102362204722"/>
  <pageSetup paperSize="9" scale="95" firstPageNumber="6" orientation="landscape" useFirstPageNumber="1" horizontalDpi="1200" verticalDpi="1200" r:id="rId1"/>
  <headerFooter alignWithMargins="0">
    <oddFooter>&amp;L&amp;D&amp;RCopyright: Handwerkskammer Düsseldorf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CC"/>
  </sheetPr>
  <dimension ref="A2:AT365"/>
  <sheetViews>
    <sheetView showGridLines="0" topLeftCell="A7" zoomScaleNormal="100" workbookViewId="0">
      <selection activeCell="B16" sqref="B16"/>
    </sheetView>
  </sheetViews>
  <sheetFormatPr baseColWidth="10" defaultRowHeight="12.6"/>
  <cols>
    <col min="1" max="1" width="12" customWidth="1"/>
    <col min="2" max="2" width="18.33203125" customWidth="1"/>
    <col min="5" max="5" width="14.44140625" customWidth="1"/>
    <col min="6" max="6" width="3" customWidth="1"/>
    <col min="7" max="7" width="15.6640625" customWidth="1"/>
    <col min="8" max="8" width="12" customWidth="1"/>
    <col min="11" max="11" width="14.5546875" customWidth="1"/>
    <col min="12" max="12" width="2.88671875" customWidth="1"/>
    <col min="13" max="13" width="16" customWidth="1"/>
    <col min="14" max="14" width="12.6640625" customWidth="1"/>
    <col min="15" max="15" width="11.5546875" customWidth="1"/>
    <col min="17" max="17" width="14.5546875" customWidth="1"/>
    <col min="18" max="18" width="3" customWidth="1"/>
    <col min="19" max="19" width="16" customWidth="1"/>
    <col min="20" max="20" width="12.6640625" customWidth="1"/>
    <col min="21" max="21" width="11.5546875" customWidth="1"/>
    <col min="22" max="22" width="11.44140625" customWidth="1"/>
    <col min="23" max="23" width="14.5546875" customWidth="1"/>
    <col min="24" max="24" width="3" customWidth="1"/>
    <col min="25" max="25" width="21.33203125" customWidth="1"/>
    <col min="26" max="26" width="12.88671875" customWidth="1"/>
    <col min="27" max="27" width="14.44140625" customWidth="1"/>
    <col min="28" max="28" width="13.33203125" customWidth="1"/>
    <col min="29" max="29" width="14.6640625" customWidth="1"/>
    <col min="30" max="30" width="3.109375" customWidth="1"/>
    <col min="31" max="31" width="15.88671875" customWidth="1"/>
    <col min="32" max="32" width="11.6640625" customWidth="1"/>
    <col min="33" max="33" width="13.44140625" customWidth="1"/>
    <col min="34" max="34" width="10" customWidth="1"/>
    <col min="35" max="35" width="14.33203125" customWidth="1"/>
    <col min="36" max="36" width="3.5546875" customWidth="1"/>
    <col min="37" max="37" width="12.109375" customWidth="1"/>
    <col min="39" max="39" width="9.44140625" customWidth="1"/>
    <col min="40" max="40" width="14.5546875" customWidth="1"/>
    <col min="41" max="41" width="4" customWidth="1"/>
    <col min="42" max="42" width="13.6640625" customWidth="1"/>
    <col min="44" max="44" width="10.88671875" customWidth="1"/>
    <col min="45" max="45" width="12.109375" customWidth="1"/>
    <col min="46" max="46" width="14.6640625" customWidth="1"/>
  </cols>
  <sheetData>
    <row r="2" spans="1:46" ht="13.2">
      <c r="E2" s="1059" t="s">
        <v>502</v>
      </c>
      <c r="F2" s="1061"/>
    </row>
    <row r="4" spans="1:46" ht="15.6">
      <c r="A4" s="116" t="str">
        <f xml:space="preserve"> CONCATENATE( "Zins- und Tilgungsplan des Unternehmens: ", Startseite!C14)</f>
        <v xml:space="preserve">Zins- und Tilgungsplan des Unternehmens: </v>
      </c>
      <c r="B4" s="116"/>
      <c r="C4" s="189"/>
      <c r="D4" s="189"/>
      <c r="E4" s="189"/>
      <c r="F4" s="119"/>
      <c r="G4" s="1126"/>
      <c r="H4" s="1126"/>
      <c r="I4" s="190"/>
      <c r="J4" s="190"/>
      <c r="K4" s="190"/>
      <c r="L4" s="119"/>
      <c r="M4" s="119"/>
      <c r="N4" s="190"/>
      <c r="O4" s="190"/>
      <c r="P4" s="190"/>
      <c r="Q4" s="190"/>
      <c r="R4" s="119"/>
      <c r="S4" s="119"/>
      <c r="T4" s="119"/>
      <c r="U4" s="119"/>
      <c r="V4" s="119"/>
      <c r="W4" s="119"/>
      <c r="X4" s="119"/>
      <c r="Y4" s="119"/>
      <c r="Z4" s="190"/>
      <c r="AA4" s="190"/>
      <c r="AB4" s="190"/>
      <c r="AC4" s="190"/>
      <c r="AD4" s="119"/>
      <c r="AE4" s="119"/>
      <c r="AF4" s="190"/>
      <c r="AG4" s="190"/>
      <c r="AH4" s="190"/>
      <c r="AI4" s="190"/>
      <c r="AJ4" s="119"/>
      <c r="AK4" s="119"/>
      <c r="AL4" s="190"/>
      <c r="AM4" s="190"/>
      <c r="AN4" s="190"/>
      <c r="AO4" s="119"/>
      <c r="AP4" s="119"/>
      <c r="AQ4" s="190"/>
      <c r="AR4" s="190"/>
      <c r="AS4" s="190"/>
      <c r="AT4" s="119"/>
    </row>
    <row r="5" spans="1:46" ht="15.6">
      <c r="A5" s="191"/>
      <c r="B5" s="192"/>
      <c r="C5" s="193"/>
      <c r="D5" s="193"/>
      <c r="E5" s="193"/>
      <c r="F5" s="194"/>
      <c r="G5" s="194"/>
      <c r="H5" s="63"/>
      <c r="I5" s="63"/>
      <c r="J5" s="63"/>
      <c r="K5" s="63"/>
      <c r="L5" s="194"/>
      <c r="M5" s="194"/>
      <c r="N5" s="190"/>
      <c r="O5" s="190"/>
      <c r="P5" s="190"/>
      <c r="Q5" s="190"/>
      <c r="R5" s="194"/>
      <c r="S5" s="194"/>
      <c r="T5" s="194"/>
      <c r="U5" s="194"/>
      <c r="V5" s="194"/>
      <c r="W5" s="194"/>
      <c r="X5" s="194"/>
      <c r="Y5" s="195"/>
      <c r="Z5" s="190"/>
      <c r="AA5" s="190"/>
      <c r="AB5" s="190"/>
      <c r="AC5" s="190"/>
      <c r="AD5" s="194"/>
      <c r="AE5" s="194"/>
      <c r="AF5" s="196"/>
      <c r="AG5" s="190"/>
      <c r="AH5" s="190"/>
      <c r="AI5" s="190"/>
      <c r="AJ5" s="119"/>
      <c r="AK5" s="119"/>
      <c r="AL5" s="197"/>
      <c r="AM5" s="190"/>
      <c r="AN5" s="190"/>
      <c r="AO5" s="119"/>
      <c r="AP5" s="119"/>
      <c r="AQ5" s="190"/>
      <c r="AR5" s="190"/>
      <c r="AS5" s="190"/>
      <c r="AT5" s="119"/>
    </row>
    <row r="6" spans="1:46" ht="15.6">
      <c r="A6" s="198"/>
      <c r="B6" s="198" t="s">
        <v>100</v>
      </c>
      <c r="C6" s="120"/>
      <c r="D6" s="120"/>
      <c r="E6" s="120"/>
      <c r="F6" s="194"/>
      <c r="G6" s="197" t="s">
        <v>92</v>
      </c>
      <c r="H6" s="197" t="str">
        <f>IF(Finanzierung!B18=0,"",Finanzierung!B18)</f>
        <v/>
      </c>
      <c r="I6" s="199"/>
      <c r="J6" s="194"/>
      <c r="K6" s="63"/>
      <c r="L6" s="194"/>
      <c r="M6" s="197" t="s">
        <v>93</v>
      </c>
      <c r="N6" s="197" t="str">
        <f>IF(Finanzierung!B19=0,"",Finanzierung!B19)</f>
        <v/>
      </c>
      <c r="O6" s="199"/>
      <c r="P6" s="194"/>
      <c r="Q6" s="63"/>
      <c r="R6" s="194"/>
      <c r="S6" s="197" t="s">
        <v>433</v>
      </c>
      <c r="T6" s="197" t="str">
        <f>IF(Finanzierung!B20=0,"",Finanzierung!B20)</f>
        <v/>
      </c>
      <c r="U6" s="199"/>
      <c r="V6" s="194"/>
      <c r="W6" s="63"/>
      <c r="X6" s="194"/>
      <c r="Y6" s="197" t="s">
        <v>425</v>
      </c>
      <c r="Z6" s="119"/>
      <c r="AA6" s="197"/>
      <c r="AB6" s="195"/>
      <c r="AC6" s="63"/>
      <c r="AD6" s="194"/>
      <c r="AE6" s="200" t="s">
        <v>126</v>
      </c>
      <c r="AF6" s="199"/>
      <c r="AG6" s="199"/>
      <c r="AH6" s="199"/>
      <c r="AI6" s="194"/>
      <c r="AJ6" s="119"/>
      <c r="AK6" s="197" t="s">
        <v>250</v>
      </c>
      <c r="AL6" s="197" t="str">
        <f>IF(Finanzierung!B23=0,"",Finanzierung!B23)</f>
        <v/>
      </c>
      <c r="AM6" s="63"/>
      <c r="AN6" s="119"/>
      <c r="AO6" s="119"/>
      <c r="AP6" s="197" t="s">
        <v>95</v>
      </c>
      <c r="AQ6" s="197"/>
      <c r="AR6" s="197" t="str">
        <f>IF(Finanzierung!B25=0,"",Finanzierung!B25)</f>
        <v/>
      </c>
      <c r="AS6" s="119"/>
      <c r="AT6" s="63"/>
    </row>
    <row r="7" spans="1:46" ht="13.2">
      <c r="A7" s="192"/>
      <c r="B7" s="201" t="s">
        <v>29</v>
      </c>
      <c r="C7" s="202">
        <f>Finanzierung!C26</f>
        <v>0</v>
      </c>
      <c r="D7" s="203"/>
      <c r="E7" s="203"/>
      <c r="F7" s="194"/>
      <c r="G7" s="143" t="s">
        <v>274</v>
      </c>
      <c r="H7" s="143">
        <f>Finanzierung!C18</f>
        <v>0</v>
      </c>
      <c r="I7" s="143" t="s">
        <v>29</v>
      </c>
      <c r="J7" s="194"/>
      <c r="K7" s="166"/>
      <c r="L7" s="194"/>
      <c r="M7" s="143" t="s">
        <v>275</v>
      </c>
      <c r="N7" s="143">
        <f>Finanzierung!C19</f>
        <v>0</v>
      </c>
      <c r="O7" s="143" t="s">
        <v>29</v>
      </c>
      <c r="P7" s="194"/>
      <c r="Q7" s="166"/>
      <c r="R7" s="194"/>
      <c r="S7" s="143" t="s">
        <v>275</v>
      </c>
      <c r="T7" s="143">
        <f>Finanzierung!C20</f>
        <v>0</v>
      </c>
      <c r="U7" s="143" t="s">
        <v>29</v>
      </c>
      <c r="V7" s="194"/>
      <c r="W7" s="166"/>
      <c r="X7" s="194"/>
      <c r="Y7" s="143" t="s">
        <v>275</v>
      </c>
      <c r="Z7" s="143">
        <f>Finanzierung!C21</f>
        <v>0</v>
      </c>
      <c r="AA7" s="143" t="s">
        <v>29</v>
      </c>
      <c r="AB7" s="195"/>
      <c r="AC7" s="166"/>
      <c r="AD7" s="194"/>
      <c r="AE7" s="143" t="s">
        <v>275</v>
      </c>
      <c r="AF7" s="204">
        <f>Finanzierung!C22</f>
        <v>0</v>
      </c>
      <c r="AG7" s="205" t="s">
        <v>29</v>
      </c>
      <c r="AH7" s="166"/>
      <c r="AI7" s="194"/>
      <c r="AJ7" s="119"/>
      <c r="AK7" s="206" t="s">
        <v>275</v>
      </c>
      <c r="AL7" s="207">
        <f>Finanzierung!C23</f>
        <v>0</v>
      </c>
      <c r="AM7" s="205" t="s">
        <v>29</v>
      </c>
      <c r="AN7" s="119"/>
      <c r="AO7" s="119"/>
      <c r="AP7" s="143" t="s">
        <v>275</v>
      </c>
      <c r="AQ7" s="207">
        <f>Finanzierung!C25</f>
        <v>0</v>
      </c>
      <c r="AR7" s="205" t="s">
        <v>29</v>
      </c>
      <c r="AS7" s="119"/>
      <c r="AT7" s="166"/>
    </row>
    <row r="8" spans="1:46" ht="12.75" customHeight="1">
      <c r="A8" s="192"/>
      <c r="B8" s="208" t="s">
        <v>311</v>
      </c>
      <c r="C8" s="1119" t="s">
        <v>98</v>
      </c>
      <c r="D8" s="120"/>
      <c r="E8" s="120"/>
      <c r="F8" s="194"/>
      <c r="G8" s="180" t="s">
        <v>311</v>
      </c>
      <c r="H8" s="91">
        <f>Finanzierung!E18</f>
        <v>0</v>
      </c>
      <c r="I8" s="180" t="s">
        <v>1</v>
      </c>
      <c r="J8" s="194"/>
      <c r="K8" s="63"/>
      <c r="L8" s="194"/>
      <c r="M8" s="180" t="s">
        <v>311</v>
      </c>
      <c r="N8" s="91">
        <f>Finanzierung!E19</f>
        <v>0</v>
      </c>
      <c r="O8" s="180" t="s">
        <v>1</v>
      </c>
      <c r="P8" s="194"/>
      <c r="Q8" s="63"/>
      <c r="R8" s="194"/>
      <c r="S8" s="180" t="s">
        <v>311</v>
      </c>
      <c r="T8" s="91">
        <f>Finanzierung!E20</f>
        <v>0</v>
      </c>
      <c r="U8" s="180" t="s">
        <v>1</v>
      </c>
      <c r="V8" s="194"/>
      <c r="W8" s="63"/>
      <c r="X8" s="194"/>
      <c r="Y8" s="180" t="s">
        <v>409</v>
      </c>
      <c r="Z8" s="209">
        <v>8</v>
      </c>
      <c r="AA8" s="180" t="s">
        <v>1</v>
      </c>
      <c r="AB8" s="195"/>
      <c r="AC8" s="63"/>
      <c r="AD8" s="194"/>
      <c r="AE8" s="180" t="s">
        <v>4</v>
      </c>
      <c r="AF8" s="210">
        <f>Finanzierung!E22</f>
        <v>0</v>
      </c>
      <c r="AG8" s="211" t="s">
        <v>309</v>
      </c>
      <c r="AH8" s="63"/>
      <c r="AI8" s="194"/>
      <c r="AJ8" s="119"/>
      <c r="AK8" s="180" t="s">
        <v>254</v>
      </c>
      <c r="AL8" s="85">
        <f>Finanzierung!E23</f>
        <v>0</v>
      </c>
      <c r="AM8" s="87" t="s">
        <v>1</v>
      </c>
      <c r="AN8" s="119"/>
      <c r="AO8" s="119"/>
      <c r="AP8" s="180" t="s">
        <v>254</v>
      </c>
      <c r="AQ8" s="212">
        <f>Finanzierung!E25</f>
        <v>0</v>
      </c>
      <c r="AR8" s="87"/>
      <c r="AS8" s="119"/>
      <c r="AT8" s="63"/>
    </row>
    <row r="9" spans="1:46" ht="13.2">
      <c r="A9" s="192"/>
      <c r="B9" s="213" t="s">
        <v>70</v>
      </c>
      <c r="C9" s="1120"/>
      <c r="D9" s="120"/>
      <c r="E9" s="120"/>
      <c r="F9" s="194"/>
      <c r="G9" s="163" t="s">
        <v>70</v>
      </c>
      <c r="H9" s="144">
        <f>Finanzierung!F18</f>
        <v>0</v>
      </c>
      <c r="I9" s="180" t="s">
        <v>97</v>
      </c>
      <c r="J9" s="194"/>
      <c r="K9" s="63"/>
      <c r="L9" s="194"/>
      <c r="M9" s="163" t="s">
        <v>70</v>
      </c>
      <c r="N9" s="163">
        <f>Finanzierung!F19</f>
        <v>0</v>
      </c>
      <c r="O9" s="180" t="s">
        <v>97</v>
      </c>
      <c r="P9" s="194"/>
      <c r="Q9" s="63"/>
      <c r="R9" s="194"/>
      <c r="S9" s="163" t="s">
        <v>70</v>
      </c>
      <c r="T9" s="163">
        <f>Finanzierung!F20</f>
        <v>0</v>
      </c>
      <c r="U9" s="180" t="s">
        <v>97</v>
      </c>
      <c r="V9" s="194"/>
      <c r="W9" s="63"/>
      <c r="X9" s="194"/>
      <c r="Y9" s="163" t="s">
        <v>410</v>
      </c>
      <c r="Z9" s="209">
        <v>1.5</v>
      </c>
      <c r="AA9" s="180" t="s">
        <v>1</v>
      </c>
      <c r="AB9" s="119"/>
      <c r="AC9" s="119"/>
      <c r="AD9" s="194"/>
      <c r="AE9" s="180" t="s">
        <v>4</v>
      </c>
      <c r="AF9" s="214">
        <v>2.82</v>
      </c>
      <c r="AG9" s="215" t="s">
        <v>310</v>
      </c>
      <c r="AH9" s="194"/>
      <c r="AI9" s="194"/>
      <c r="AJ9" s="119"/>
      <c r="AK9" s="163" t="s">
        <v>70</v>
      </c>
      <c r="AL9" s="216">
        <f>ROUND(Finanzierung!F23,0)</f>
        <v>0</v>
      </c>
      <c r="AM9" s="87" t="s">
        <v>97</v>
      </c>
      <c r="AN9" s="119"/>
      <c r="AO9" s="119"/>
      <c r="AP9" s="86" t="s">
        <v>255</v>
      </c>
      <c r="AQ9" s="212">
        <f>Finanzierung!F25</f>
        <v>0</v>
      </c>
      <c r="AR9" s="217"/>
      <c r="AS9" s="119"/>
      <c r="AT9" s="63"/>
    </row>
    <row r="10" spans="1:46" ht="13.2">
      <c r="A10" s="192"/>
      <c r="B10" s="218" t="s">
        <v>96</v>
      </c>
      <c r="C10" s="1120"/>
      <c r="D10" s="120"/>
      <c r="E10" s="120"/>
      <c r="F10" s="194"/>
      <c r="G10" s="219" t="s">
        <v>96</v>
      </c>
      <c r="H10" s="163">
        <f>Finanzierung!H18</f>
        <v>0</v>
      </c>
      <c r="I10" s="180" t="s">
        <v>373</v>
      </c>
      <c r="J10" s="220"/>
      <c r="K10" s="63"/>
      <c r="L10" s="194"/>
      <c r="M10" s="219" t="s">
        <v>96</v>
      </c>
      <c r="N10" s="163">
        <f>Finanzierung!H19</f>
        <v>0</v>
      </c>
      <c r="O10" s="180" t="s">
        <v>373</v>
      </c>
      <c r="P10" s="194"/>
      <c r="Q10" s="63"/>
      <c r="R10" s="194"/>
      <c r="S10" s="219" t="s">
        <v>96</v>
      </c>
      <c r="T10" s="163">
        <f>Finanzierung!H20</f>
        <v>0</v>
      </c>
      <c r="U10" s="180" t="s">
        <v>373</v>
      </c>
      <c r="V10" s="194"/>
      <c r="W10" s="63"/>
      <c r="X10" s="194"/>
      <c r="Y10" s="163" t="s">
        <v>70</v>
      </c>
      <c r="Z10" s="110">
        <f>10</f>
        <v>10</v>
      </c>
      <c r="AA10" s="180" t="s">
        <v>97</v>
      </c>
      <c r="AB10" s="195"/>
      <c r="AC10" s="63"/>
      <c r="AD10" s="194"/>
      <c r="AE10" s="180" t="s">
        <v>4</v>
      </c>
      <c r="AF10" s="214">
        <v>5</v>
      </c>
      <c r="AG10" s="215" t="s">
        <v>302</v>
      </c>
      <c r="AH10" s="194"/>
      <c r="AI10" s="194"/>
      <c r="AJ10" s="119"/>
      <c r="AK10" s="119"/>
      <c r="AL10" s="134"/>
      <c r="AM10" s="63"/>
      <c r="AN10" s="63"/>
      <c r="AO10" s="119"/>
      <c r="AP10" s="180" t="s">
        <v>259</v>
      </c>
      <c r="AQ10" s="85">
        <f>Finanzierung!H25</f>
        <v>0</v>
      </c>
      <c r="AR10" s="221" t="s">
        <v>97</v>
      </c>
      <c r="AS10" s="119"/>
      <c r="AT10" s="63"/>
    </row>
    <row r="11" spans="1:46" ht="13.2">
      <c r="A11" s="192"/>
      <c r="B11" s="222" t="s">
        <v>99</v>
      </c>
      <c r="C11" s="1121"/>
      <c r="D11" s="120"/>
      <c r="E11" s="120"/>
      <c r="F11" s="194"/>
      <c r="G11" s="180" t="s">
        <v>99</v>
      </c>
      <c r="H11" s="144">
        <f>H9-H10/12</f>
        <v>0</v>
      </c>
      <c r="I11" s="180" t="s">
        <v>97</v>
      </c>
      <c r="J11" s="223"/>
      <c r="K11" s="119"/>
      <c r="L11" s="194"/>
      <c r="M11" s="180" t="s">
        <v>99</v>
      </c>
      <c r="N11" s="144">
        <f>N9-N10/12</f>
        <v>0</v>
      </c>
      <c r="O11" s="180" t="s">
        <v>97</v>
      </c>
      <c r="P11" s="194"/>
      <c r="Q11" s="63"/>
      <c r="R11" s="194"/>
      <c r="S11" s="180" t="s">
        <v>99</v>
      </c>
      <c r="T11" s="144">
        <f>T9-T10/12</f>
        <v>0</v>
      </c>
      <c r="U11" s="180" t="s">
        <v>97</v>
      </c>
      <c r="V11" s="194"/>
      <c r="W11" s="63"/>
      <c r="X11" s="194"/>
      <c r="Y11" s="219" t="s">
        <v>462</v>
      </c>
      <c r="Z11" s="216">
        <v>7</v>
      </c>
      <c r="AA11" s="180" t="s">
        <v>97</v>
      </c>
      <c r="AB11" s="195"/>
      <c r="AC11" s="63"/>
      <c r="AD11" s="194"/>
      <c r="AE11" s="180" t="s">
        <v>303</v>
      </c>
      <c r="AF11" s="214">
        <v>1</v>
      </c>
      <c r="AG11" s="224" t="s">
        <v>304</v>
      </c>
      <c r="AH11" s="225"/>
      <c r="AI11" s="194"/>
      <c r="AJ11" s="119"/>
      <c r="AK11" s="119"/>
      <c r="AL11" s="134"/>
      <c r="AM11" s="63"/>
      <c r="AN11" s="63"/>
      <c r="AO11" s="119"/>
      <c r="AP11" s="119"/>
      <c r="AQ11" s="134"/>
      <c r="AR11" s="63"/>
      <c r="AS11" s="63"/>
      <c r="AT11" s="63"/>
    </row>
    <row r="12" spans="1:46" ht="13.2">
      <c r="A12" s="192"/>
      <c r="B12" s="120"/>
      <c r="C12" s="226"/>
      <c r="D12" s="120"/>
      <c r="E12" s="120"/>
      <c r="F12" s="194"/>
      <c r="G12" s="63"/>
      <c r="H12" s="63"/>
      <c r="I12" s="63"/>
      <c r="J12" s="227"/>
      <c r="K12" s="63"/>
      <c r="L12" s="194"/>
      <c r="M12" s="63"/>
      <c r="N12" s="63"/>
      <c r="O12" s="63"/>
      <c r="P12" s="63"/>
      <c r="Q12" s="63"/>
      <c r="R12" s="194"/>
      <c r="S12" s="63"/>
      <c r="T12" s="63"/>
      <c r="U12" s="63"/>
      <c r="V12" s="63"/>
      <c r="W12" s="63"/>
      <c r="X12" s="194"/>
      <c r="Y12" s="180" t="s">
        <v>463</v>
      </c>
      <c r="Z12" s="163">
        <f>Z10-Z11</f>
        <v>3</v>
      </c>
      <c r="AA12" s="180" t="s">
        <v>97</v>
      </c>
      <c r="AB12" s="195"/>
      <c r="AC12" s="63"/>
      <c r="AD12" s="194"/>
      <c r="AE12" s="163" t="s">
        <v>70</v>
      </c>
      <c r="AF12" s="228">
        <v>15</v>
      </c>
      <c r="AG12" s="221" t="s">
        <v>97</v>
      </c>
      <c r="AH12" s="63"/>
      <c r="AI12" s="194"/>
      <c r="AJ12" s="119"/>
      <c r="AK12" s="119"/>
      <c r="AL12" s="134"/>
      <c r="AM12" s="63"/>
      <c r="AN12" s="63"/>
      <c r="AO12" s="119"/>
      <c r="AP12" s="119"/>
      <c r="AQ12" s="134"/>
      <c r="AR12" s="63"/>
      <c r="AS12" s="63"/>
      <c r="AT12" s="63"/>
    </row>
    <row r="13" spans="1:46" ht="13.2">
      <c r="A13" s="192"/>
      <c r="B13" s="120"/>
      <c r="C13" s="226"/>
      <c r="D13" s="120"/>
      <c r="E13" s="120"/>
      <c r="F13" s="194"/>
      <c r="G13" s="194"/>
      <c r="H13" s="194"/>
      <c r="I13" s="194"/>
      <c r="J13" s="194"/>
      <c r="K13" s="63"/>
      <c r="L13" s="194"/>
      <c r="M13" s="63"/>
      <c r="N13" s="63"/>
      <c r="O13" s="63"/>
      <c r="P13" s="63"/>
      <c r="Q13" s="63"/>
      <c r="R13" s="194"/>
      <c r="S13" s="63"/>
      <c r="T13" s="63"/>
      <c r="U13" s="63"/>
      <c r="V13" s="63"/>
      <c r="W13" s="63"/>
      <c r="X13" s="194"/>
      <c r="Y13" s="63"/>
      <c r="Z13" s="63"/>
      <c r="AA13" s="63"/>
      <c r="AB13" s="63"/>
      <c r="AC13" s="63"/>
      <c r="AD13" s="194"/>
      <c r="AE13" s="219" t="s">
        <v>96</v>
      </c>
      <c r="AF13" s="228">
        <v>7</v>
      </c>
      <c r="AG13" s="87" t="s">
        <v>97</v>
      </c>
      <c r="AH13" s="63"/>
      <c r="AI13" s="194"/>
      <c r="AJ13" s="119"/>
      <c r="AK13" s="119"/>
      <c r="AL13" s="134"/>
      <c r="AM13" s="63"/>
      <c r="AN13" s="63"/>
      <c r="AO13" s="119"/>
      <c r="AP13" s="119"/>
      <c r="AQ13" s="134"/>
      <c r="AR13" s="63"/>
      <c r="AS13" s="63"/>
      <c r="AT13" s="63"/>
    </row>
    <row r="14" spans="1:46" ht="12.75" customHeight="1">
      <c r="A14" s="1128" t="s">
        <v>6</v>
      </c>
      <c r="B14" s="1122" t="s">
        <v>280</v>
      </c>
      <c r="C14" s="1130" t="s">
        <v>277</v>
      </c>
      <c r="D14" s="1122" t="s">
        <v>279</v>
      </c>
      <c r="E14" s="1122" t="s">
        <v>278</v>
      </c>
      <c r="F14" s="194"/>
      <c r="G14" s="1131" t="s">
        <v>6</v>
      </c>
      <c r="H14" s="1124" t="s">
        <v>280</v>
      </c>
      <c r="I14" s="1127" t="s">
        <v>277</v>
      </c>
      <c r="J14" s="1124" t="s">
        <v>279</v>
      </c>
      <c r="K14" s="1124" t="s">
        <v>278</v>
      </c>
      <c r="L14" s="194"/>
      <c r="M14" s="1131" t="s">
        <v>6</v>
      </c>
      <c r="N14" s="1124" t="s">
        <v>280</v>
      </c>
      <c r="O14" s="1127" t="s">
        <v>277</v>
      </c>
      <c r="P14" s="1124" t="s">
        <v>279</v>
      </c>
      <c r="Q14" s="1124" t="s">
        <v>278</v>
      </c>
      <c r="R14" s="194"/>
      <c r="S14" s="1131" t="s">
        <v>6</v>
      </c>
      <c r="T14" s="1124" t="s">
        <v>280</v>
      </c>
      <c r="U14" s="1127" t="s">
        <v>277</v>
      </c>
      <c r="V14" s="1124" t="s">
        <v>279</v>
      </c>
      <c r="W14" s="1124" t="s">
        <v>278</v>
      </c>
      <c r="X14" s="194"/>
      <c r="Y14" s="63"/>
      <c r="Z14" s="63"/>
      <c r="AA14" s="63"/>
      <c r="AB14" s="63"/>
      <c r="AC14" s="63"/>
      <c r="AD14" s="194"/>
      <c r="AE14" s="180" t="s">
        <v>99</v>
      </c>
      <c r="AF14" s="228">
        <f>AF12-AF13</f>
        <v>8</v>
      </c>
      <c r="AG14" s="87" t="s">
        <v>97</v>
      </c>
      <c r="AH14" s="63"/>
      <c r="AI14" s="194"/>
      <c r="AJ14" s="119"/>
      <c r="AK14" s="1131" t="s">
        <v>6</v>
      </c>
      <c r="AL14" s="1124" t="s">
        <v>280</v>
      </c>
      <c r="AM14" s="1127" t="s">
        <v>277</v>
      </c>
      <c r="AN14" s="1124" t="s">
        <v>278</v>
      </c>
      <c r="AO14" s="119"/>
      <c r="AP14" s="1131" t="s">
        <v>6</v>
      </c>
      <c r="AQ14" s="1124" t="s">
        <v>280</v>
      </c>
      <c r="AR14" s="1127" t="s">
        <v>277</v>
      </c>
      <c r="AS14" s="1124" t="s">
        <v>279</v>
      </c>
      <c r="AT14" s="1124" t="s">
        <v>278</v>
      </c>
    </row>
    <row r="15" spans="1:46" ht="12.75" customHeight="1">
      <c r="A15" s="1129"/>
      <c r="B15" s="1123"/>
      <c r="C15" s="1123"/>
      <c r="D15" s="1123"/>
      <c r="E15" s="1123"/>
      <c r="F15" s="194"/>
      <c r="G15" s="1132"/>
      <c r="H15" s="1125"/>
      <c r="I15" s="1125"/>
      <c r="J15" s="1125"/>
      <c r="K15" s="1125"/>
      <c r="L15" s="194"/>
      <c r="M15" s="1132"/>
      <c r="N15" s="1125"/>
      <c r="O15" s="1125"/>
      <c r="P15" s="1125"/>
      <c r="Q15" s="1125"/>
      <c r="R15" s="194"/>
      <c r="S15" s="1132"/>
      <c r="T15" s="1125"/>
      <c r="U15" s="1125"/>
      <c r="V15" s="1125"/>
      <c r="W15" s="1125"/>
      <c r="X15" s="194"/>
      <c r="Y15" s="229" t="s">
        <v>6</v>
      </c>
      <c r="Z15" s="230" t="s">
        <v>7</v>
      </c>
      <c r="AA15" s="231" t="s">
        <v>428</v>
      </c>
      <c r="AB15" s="230" t="s">
        <v>427</v>
      </c>
      <c r="AC15" s="230" t="s">
        <v>278</v>
      </c>
      <c r="AD15" s="194"/>
      <c r="AE15" s="194"/>
      <c r="AF15" s="63"/>
      <c r="AG15" s="110"/>
      <c r="AH15" s="63"/>
      <c r="AI15" s="63"/>
      <c r="AJ15" s="119"/>
      <c r="AK15" s="1132"/>
      <c r="AL15" s="1125"/>
      <c r="AM15" s="1125"/>
      <c r="AN15" s="1125"/>
      <c r="AO15" s="119"/>
      <c r="AP15" s="1132"/>
      <c r="AQ15" s="1125"/>
      <c r="AR15" s="1125"/>
      <c r="AS15" s="1125"/>
      <c r="AT15" s="1125"/>
    </row>
    <row r="16" spans="1:46" ht="13.5" customHeight="1">
      <c r="A16" s="232">
        <v>1</v>
      </c>
      <c r="B16" s="233">
        <f>H16+N16+Z18++T16+AF20+AL16+AQ16</f>
        <v>0</v>
      </c>
      <c r="C16" s="233">
        <f>I16+O16+U16+AA18+AG20+AM16+AR16</f>
        <v>0</v>
      </c>
      <c r="D16" s="233">
        <f>J16+P16+V16+AB18+AH20+AS16</f>
        <v>0</v>
      </c>
      <c r="E16" s="233">
        <f>K16+Q16+W16+AC18+AI20+AT16+AN16</f>
        <v>0</v>
      </c>
      <c r="F16" s="194"/>
      <c r="G16" s="234">
        <v>1</v>
      </c>
      <c r="H16" s="235">
        <f>H7</f>
        <v>0</v>
      </c>
      <c r="I16" s="143">
        <f>Hilfstabelle!N123</f>
        <v>0</v>
      </c>
      <c r="J16" s="143">
        <f>IF(H16=0,0,IF(H10=0,H7/(H9*12-H10)*12,IF(AND(H10&gt;0,H10&lt;12),H7/(H9*12-H10)*(12-H10),0)))</f>
        <v>0</v>
      </c>
      <c r="K16" s="143">
        <f>I16+J16</f>
        <v>0</v>
      </c>
      <c r="L16" s="194"/>
      <c r="M16" s="234">
        <v>1</v>
      </c>
      <c r="N16" s="235">
        <f>N7</f>
        <v>0</v>
      </c>
      <c r="O16" s="143">
        <f>Hilfstabelle!N124</f>
        <v>0</v>
      </c>
      <c r="P16" s="143">
        <f>IF(N16=0,0,IF(N10=0,N7/(N9*12-N10)*12,IF(AND(N10&gt;0,N10&lt;12),N7/(N9*12-N10)*(12-N10),0)))</f>
        <v>0</v>
      </c>
      <c r="Q16" s="143">
        <f t="shared" ref="Q16:Q35" si="0">O16+P16</f>
        <v>0</v>
      </c>
      <c r="R16" s="194"/>
      <c r="S16" s="234">
        <v>1</v>
      </c>
      <c r="T16" s="235">
        <f>T7</f>
        <v>0</v>
      </c>
      <c r="U16" s="143">
        <f>Hilfstabelle!N125</f>
        <v>0</v>
      </c>
      <c r="V16" s="143">
        <f>IF(T16=0,0,IF(T10=0,T7/(T9*12-T10)*12,IF(AND(T10&gt;0,T10&lt;12),T7/(T9*12-T10)*(12-T10),0)))</f>
        <v>0</v>
      </c>
      <c r="W16" s="143">
        <f t="shared" ref="W16:W35" si="1">U16+V16</f>
        <v>0</v>
      </c>
      <c r="X16" s="194"/>
      <c r="Y16" s="236"/>
      <c r="Z16" s="236"/>
      <c r="AA16" s="237" t="s">
        <v>429</v>
      </c>
      <c r="AB16" s="236"/>
      <c r="AC16" s="238"/>
      <c r="AD16" s="194"/>
      <c r="AE16" s="194"/>
      <c r="AF16" s="110"/>
      <c r="AG16" s="63"/>
      <c r="AH16" s="63"/>
      <c r="AI16" s="63"/>
      <c r="AJ16" s="119"/>
      <c r="AK16" s="234">
        <v>1</v>
      </c>
      <c r="AL16" s="235">
        <f t="shared" ref="AL16:AL35" si="2">IF(AL$9&gt;=A16,AL$7,0)</f>
        <v>0</v>
      </c>
      <c r="AM16" s="143">
        <f t="shared" ref="AM16:AM35" si="3">AL16*AL$8/100</f>
        <v>0</v>
      </c>
      <c r="AN16" s="143">
        <f>AM16</f>
        <v>0</v>
      </c>
      <c r="AO16" s="119"/>
      <c r="AP16" s="234">
        <v>1</v>
      </c>
      <c r="AQ16" s="235">
        <f>AQ7</f>
        <v>0</v>
      </c>
      <c r="AR16" s="143">
        <f t="shared" ref="AR16:AR35" si="4">AQ16*AQ$8</f>
        <v>0</v>
      </c>
      <c r="AS16" s="143">
        <f>IF(A16&gt;=AQ$10,AQ16,AT16-AR16)</f>
        <v>0</v>
      </c>
      <c r="AT16" s="143">
        <f>IF(A16=0,0,IF(AQ$10&gt;=A16,+PMT(AQ$8,AQ$10,-AQ$7,0,0),0))</f>
        <v>0</v>
      </c>
    </row>
    <row r="17" spans="1:46" ht="13.5" customHeight="1">
      <c r="A17" s="232">
        <v>2</v>
      </c>
      <c r="B17" s="233">
        <f t="shared" ref="B17:B35" si="5">H17+N17+Z19++T17+AF21+AL17+AQ17</f>
        <v>0</v>
      </c>
      <c r="C17" s="233">
        <f t="shared" ref="C17:C25" si="6">I17+O17+U17+AA19+AG21+AM17+AR17</f>
        <v>0</v>
      </c>
      <c r="D17" s="233">
        <f t="shared" ref="D17:D25" si="7">J17+P17+V17+AB19+AH21+AS17</f>
        <v>0</v>
      </c>
      <c r="E17" s="233">
        <f t="shared" ref="E17:E25" si="8">K17+Q17+W17+AC19+AI21+AT17+AN17</f>
        <v>0</v>
      </c>
      <c r="F17" s="194"/>
      <c r="G17" s="234">
        <v>2</v>
      </c>
      <c r="H17" s="143">
        <f t="shared" ref="H17:H35" si="9">IF((H16-J16)&lt;0,0,H16-J16)</f>
        <v>0</v>
      </c>
      <c r="I17" s="143">
        <f>Hilfstabelle!N130</f>
        <v>0</v>
      </c>
      <c r="J17" s="143">
        <f>IF(H17=0,0,IF(H10&lt;=12,H7/(H9*12-H10)*12,IF(AND(H10&gt;12,H10&lt;24),H7/(H9*12-H10)*(24-H10),0)))</f>
        <v>0</v>
      </c>
      <c r="K17" s="143">
        <f>I17+J17</f>
        <v>0</v>
      </c>
      <c r="L17" s="194"/>
      <c r="M17" s="234">
        <v>2</v>
      </c>
      <c r="N17" s="143">
        <f t="shared" ref="N17:N35" si="10">IF((N16-P16)&lt;0,0,N16-P16)</f>
        <v>0</v>
      </c>
      <c r="O17" s="143">
        <f>Hilfstabelle!N131</f>
        <v>0</v>
      </c>
      <c r="P17" s="143">
        <f>IF(N17=0,0,IF(N10&lt;=12,N7/(N9*12-N10)*12,IF(AND(N10&gt;12,N10&lt;24),N7/(N9*12-N10)*(24-N10),0)))</f>
        <v>0</v>
      </c>
      <c r="Q17" s="143">
        <f t="shared" si="0"/>
        <v>0</v>
      </c>
      <c r="R17" s="194"/>
      <c r="S17" s="234">
        <v>2</v>
      </c>
      <c r="T17" s="143">
        <f t="shared" ref="T17:T35" si="11">IF((T16-V16)&lt;0,0,T16-V16)</f>
        <v>0</v>
      </c>
      <c r="U17" s="143">
        <f>Hilfstabelle!N132</f>
        <v>0</v>
      </c>
      <c r="V17" s="143">
        <f>IF(T17=0,0,IF(T10&lt;=12,T7/(T9*12-T10)*12,IF(AND(T10&gt;12,T10&lt;24),T7/(T9*12-T10)*(24-T10),0)))</f>
        <v>0</v>
      </c>
      <c r="W17" s="143">
        <f t="shared" si="1"/>
        <v>0</v>
      </c>
      <c r="X17" s="194"/>
      <c r="Y17" s="239"/>
      <c r="Z17" s="237" t="s">
        <v>29</v>
      </c>
      <c r="AA17" s="237" t="s">
        <v>29</v>
      </c>
      <c r="AB17" s="240" t="s">
        <v>29</v>
      </c>
      <c r="AC17" s="237" t="s">
        <v>29</v>
      </c>
      <c r="AD17" s="194"/>
      <c r="AE17" s="241" t="s">
        <v>6</v>
      </c>
      <c r="AF17" s="230" t="s">
        <v>305</v>
      </c>
      <c r="AG17" s="242" t="s">
        <v>307</v>
      </c>
      <c r="AH17" s="243" t="s">
        <v>8</v>
      </c>
      <c r="AI17" s="230" t="s">
        <v>306</v>
      </c>
      <c r="AJ17" s="119"/>
      <c r="AK17" s="234">
        <v>2</v>
      </c>
      <c r="AL17" s="235">
        <f t="shared" si="2"/>
        <v>0</v>
      </c>
      <c r="AM17" s="143">
        <f t="shared" si="3"/>
        <v>0</v>
      </c>
      <c r="AN17" s="143">
        <f t="shared" ref="AN17:AN35" si="12">AM17</f>
        <v>0</v>
      </c>
      <c r="AO17" s="119"/>
      <c r="AP17" s="234">
        <v>2</v>
      </c>
      <c r="AQ17" s="143">
        <f>IF(AQ16-AS16&lt;0,0,AQ16-AS16)</f>
        <v>0</v>
      </c>
      <c r="AR17" s="143">
        <f t="shared" si="4"/>
        <v>0</v>
      </c>
      <c r="AS17" s="143">
        <f t="shared" ref="AS17:AS35" si="13">IF(OR(AQ17&lt;AS16,A17&gt;=AQ$10),AQ17,AT17-AR17)</f>
        <v>0</v>
      </c>
      <c r="AT17" s="143">
        <f t="shared" ref="AT17:AT35" si="14">IF(A17=0,0,IF(AQ$10&gt;=A17,+PMT(AQ$8,AQ$10,-AQ$7,0,0),AR17+AS17))</f>
        <v>0</v>
      </c>
    </row>
    <row r="18" spans="1:46" ht="14.25" customHeight="1">
      <c r="A18" s="234">
        <v>3</v>
      </c>
      <c r="B18" s="233">
        <f t="shared" si="5"/>
        <v>0</v>
      </c>
      <c r="C18" s="233">
        <f t="shared" si="6"/>
        <v>0</v>
      </c>
      <c r="D18" s="233">
        <f t="shared" si="7"/>
        <v>0</v>
      </c>
      <c r="E18" s="233">
        <f t="shared" si="8"/>
        <v>0</v>
      </c>
      <c r="F18" s="194"/>
      <c r="G18" s="234">
        <v>3</v>
      </c>
      <c r="H18" s="143">
        <f t="shared" si="9"/>
        <v>0</v>
      </c>
      <c r="I18" s="143">
        <f>Hilfstabelle!N137</f>
        <v>0</v>
      </c>
      <c r="J18" s="143">
        <f>IF(H18=0,0,IF(H10&lt;=24,H7/(H9*12-H10)*12,IF(AND(H10&gt;24,H10&lt;36),H7/(H9*12-H10)*(36-H10),0)))</f>
        <v>0</v>
      </c>
      <c r="K18" s="143">
        <f t="shared" ref="K18:K35" si="15">I18+J18</f>
        <v>0</v>
      </c>
      <c r="L18" s="194"/>
      <c r="M18" s="234">
        <v>3</v>
      </c>
      <c r="N18" s="143">
        <f t="shared" si="10"/>
        <v>0</v>
      </c>
      <c r="O18" s="143">
        <f>Hilfstabelle!N138</f>
        <v>0</v>
      </c>
      <c r="P18" s="143">
        <f>IF(N18=0,0,IF(N10&lt;=24,N7/(N9*12-N10)*12,IF(AND(N10&gt;24,N10&lt;36),N7/(N9*12-N10)*(36-N10),0)))</f>
        <v>0</v>
      </c>
      <c r="Q18" s="143">
        <f t="shared" si="0"/>
        <v>0</v>
      </c>
      <c r="R18" s="194"/>
      <c r="S18" s="234">
        <v>3</v>
      </c>
      <c r="T18" s="143">
        <f t="shared" si="11"/>
        <v>0</v>
      </c>
      <c r="U18" s="143">
        <f>Hilfstabelle!N139</f>
        <v>0</v>
      </c>
      <c r="V18" s="143">
        <f>IF(T18=0,0,IF(T10&lt;=24,T7/(T9*12-T10)*12,IF(AND(T10&gt;24,T10&lt;36),T7/(T9*12-T10)*(36-T10),0)))</f>
        <v>0</v>
      </c>
      <c r="W18" s="143">
        <f t="shared" si="1"/>
        <v>0</v>
      </c>
      <c r="X18" s="194"/>
      <c r="Y18" s="234">
        <v>1</v>
      </c>
      <c r="Z18" s="235">
        <f>Z7</f>
        <v>0</v>
      </c>
      <c r="AA18" s="205">
        <f t="shared" ref="AA18:AA27" si="16">Z18*Z$8/100+Z18*Z$9/100</f>
        <v>0</v>
      </c>
      <c r="AB18" s="178">
        <f t="shared" ref="AB18:AB26" si="17">IF(Y18&lt;=Z$11,0,Z$7/Z$12)</f>
        <v>0</v>
      </c>
      <c r="AC18" s="143">
        <f t="shared" ref="AC18:AC27" si="18">AA18+AB18</f>
        <v>0</v>
      </c>
      <c r="AD18" s="194"/>
      <c r="AE18" s="244"/>
      <c r="AF18" s="237" t="s">
        <v>29</v>
      </c>
      <c r="AG18" s="237" t="s">
        <v>308</v>
      </c>
      <c r="AH18" s="237" t="s">
        <v>29</v>
      </c>
      <c r="AI18" s="237" t="s">
        <v>29</v>
      </c>
      <c r="AJ18" s="119"/>
      <c r="AK18" s="234">
        <v>3</v>
      </c>
      <c r="AL18" s="235">
        <f t="shared" si="2"/>
        <v>0</v>
      </c>
      <c r="AM18" s="143">
        <f t="shared" si="3"/>
        <v>0</v>
      </c>
      <c r="AN18" s="143">
        <f t="shared" si="12"/>
        <v>0</v>
      </c>
      <c r="AO18" s="119"/>
      <c r="AP18" s="234">
        <v>3</v>
      </c>
      <c r="AQ18" s="143">
        <f t="shared" ref="AQ18:AQ31" si="19">IF(AQ17-AS17&lt;0,0,AQ17-AS17)</f>
        <v>0</v>
      </c>
      <c r="AR18" s="143">
        <f t="shared" si="4"/>
        <v>0</v>
      </c>
      <c r="AS18" s="143">
        <f t="shared" si="13"/>
        <v>0</v>
      </c>
      <c r="AT18" s="143">
        <f t="shared" si="14"/>
        <v>0</v>
      </c>
    </row>
    <row r="19" spans="1:46" ht="13.8">
      <c r="A19" s="234">
        <v>4</v>
      </c>
      <c r="B19" s="233">
        <f t="shared" si="5"/>
        <v>0</v>
      </c>
      <c r="C19" s="233">
        <f t="shared" si="6"/>
        <v>0</v>
      </c>
      <c r="D19" s="233">
        <f t="shared" si="7"/>
        <v>0</v>
      </c>
      <c r="E19" s="233">
        <f t="shared" si="8"/>
        <v>0</v>
      </c>
      <c r="F19" s="194"/>
      <c r="G19" s="234">
        <v>4</v>
      </c>
      <c r="H19" s="143">
        <f t="shared" si="9"/>
        <v>0</v>
      </c>
      <c r="I19" s="143">
        <f t="shared" ref="I19:I35" si="20">H19*H$8/100</f>
        <v>0</v>
      </c>
      <c r="J19" s="143">
        <f>IF(H19=0,0,IF(H19&lt;H$7/H$11,H19,H$7/(H$9*12-H$10)*12))</f>
        <v>0</v>
      </c>
      <c r="K19" s="143">
        <f t="shared" si="15"/>
        <v>0</v>
      </c>
      <c r="L19" s="194"/>
      <c r="M19" s="234">
        <v>4</v>
      </c>
      <c r="N19" s="143">
        <f t="shared" si="10"/>
        <v>0</v>
      </c>
      <c r="O19" s="143">
        <f t="shared" ref="O19:O35" si="21">N19*N$8/100</f>
        <v>0</v>
      </c>
      <c r="P19" s="143">
        <f>IF(N19=0,0,IF(N19&lt;N$7/N$11,N19,N$7/(N$9*12-N$10)*12))</f>
        <v>0</v>
      </c>
      <c r="Q19" s="143">
        <f t="shared" si="0"/>
        <v>0</v>
      </c>
      <c r="R19" s="194"/>
      <c r="S19" s="234">
        <v>4</v>
      </c>
      <c r="T19" s="143">
        <f t="shared" si="11"/>
        <v>0</v>
      </c>
      <c r="U19" s="143">
        <f t="shared" ref="U19:U35" si="22">T19*T$8/100</f>
        <v>0</v>
      </c>
      <c r="V19" s="143">
        <f>IF(T19=0,0,IF(T19&lt;T$7/T$11,T19,T$7/(T$9*12-T$10)*12))</f>
        <v>0</v>
      </c>
      <c r="W19" s="143">
        <f t="shared" si="1"/>
        <v>0</v>
      </c>
      <c r="X19" s="194"/>
      <c r="Y19" s="234">
        <v>2</v>
      </c>
      <c r="Z19" s="143">
        <f t="shared" ref="Z19:Z27" si="23">IF((Z18-AB18)&lt;0,0,Z18-AB18)</f>
        <v>0</v>
      </c>
      <c r="AA19" s="205">
        <f t="shared" si="16"/>
        <v>0</v>
      </c>
      <c r="AB19" s="178">
        <f t="shared" si="17"/>
        <v>0</v>
      </c>
      <c r="AC19" s="143">
        <f t="shared" si="18"/>
        <v>0</v>
      </c>
      <c r="AD19" s="194"/>
      <c r="AE19" s="245"/>
      <c r="AF19" s="246"/>
      <c r="AG19" s="237" t="s">
        <v>29</v>
      </c>
      <c r="AH19" s="240"/>
      <c r="AI19" s="240"/>
      <c r="AJ19" s="119"/>
      <c r="AK19" s="234">
        <v>4</v>
      </c>
      <c r="AL19" s="235">
        <f t="shared" si="2"/>
        <v>0</v>
      </c>
      <c r="AM19" s="143">
        <f t="shared" si="3"/>
        <v>0</v>
      </c>
      <c r="AN19" s="143">
        <f t="shared" si="12"/>
        <v>0</v>
      </c>
      <c r="AO19" s="119"/>
      <c r="AP19" s="234">
        <v>4</v>
      </c>
      <c r="AQ19" s="143">
        <f t="shared" si="19"/>
        <v>0</v>
      </c>
      <c r="AR19" s="143">
        <f t="shared" si="4"/>
        <v>0</v>
      </c>
      <c r="AS19" s="143">
        <f t="shared" si="13"/>
        <v>0</v>
      </c>
      <c r="AT19" s="143">
        <f t="shared" si="14"/>
        <v>0</v>
      </c>
    </row>
    <row r="20" spans="1:46" ht="13.2">
      <c r="A20" s="234">
        <v>5</v>
      </c>
      <c r="B20" s="233">
        <f t="shared" si="5"/>
        <v>0</v>
      </c>
      <c r="C20" s="233">
        <f t="shared" si="6"/>
        <v>0</v>
      </c>
      <c r="D20" s="233">
        <f t="shared" si="7"/>
        <v>0</v>
      </c>
      <c r="E20" s="233">
        <f t="shared" si="8"/>
        <v>0</v>
      </c>
      <c r="F20" s="194"/>
      <c r="G20" s="234">
        <v>5</v>
      </c>
      <c r="H20" s="143">
        <f t="shared" si="9"/>
        <v>0</v>
      </c>
      <c r="I20" s="143">
        <f t="shared" si="20"/>
        <v>0</v>
      </c>
      <c r="J20" s="143">
        <f t="shared" ref="J20:J35" si="24">IF(H20=0,0,IF(H20&lt;H$7/H$11,H20,H$7/(H$9*12-H$10)*12))</f>
        <v>0</v>
      </c>
      <c r="K20" s="143">
        <f t="shared" si="15"/>
        <v>0</v>
      </c>
      <c r="L20" s="194"/>
      <c r="M20" s="234">
        <v>5</v>
      </c>
      <c r="N20" s="143">
        <f t="shared" si="10"/>
        <v>0</v>
      </c>
      <c r="O20" s="143">
        <f t="shared" si="21"/>
        <v>0</v>
      </c>
      <c r="P20" s="143">
        <f t="shared" ref="P20:P35" si="25">IF(N20=0,0,IF(N20&lt;N$7/N$11,N20,N$7/(N$9*12-N$10)*12))</f>
        <v>0</v>
      </c>
      <c r="Q20" s="143">
        <f t="shared" si="0"/>
        <v>0</v>
      </c>
      <c r="R20" s="194"/>
      <c r="S20" s="234">
        <v>5</v>
      </c>
      <c r="T20" s="143">
        <f t="shared" si="11"/>
        <v>0</v>
      </c>
      <c r="U20" s="143">
        <f t="shared" si="22"/>
        <v>0</v>
      </c>
      <c r="V20" s="143">
        <f t="shared" ref="V20:V35" si="26">IF(T20=0,0,IF(T20&lt;T$7/T$11,T20,T$7/(T$9*12-T$10)*12))</f>
        <v>0</v>
      </c>
      <c r="W20" s="143">
        <f t="shared" si="1"/>
        <v>0</v>
      </c>
      <c r="X20" s="194"/>
      <c r="Y20" s="234">
        <v>3</v>
      </c>
      <c r="Z20" s="143">
        <f t="shared" si="23"/>
        <v>0</v>
      </c>
      <c r="AA20" s="205">
        <f t="shared" si="16"/>
        <v>0</v>
      </c>
      <c r="AB20" s="178">
        <f t="shared" si="17"/>
        <v>0</v>
      </c>
      <c r="AC20" s="143">
        <f t="shared" si="18"/>
        <v>0</v>
      </c>
      <c r="AD20" s="194"/>
      <c r="AE20" s="234">
        <v>1</v>
      </c>
      <c r="AF20" s="247">
        <f>AF7</f>
        <v>0</v>
      </c>
      <c r="AG20" s="143">
        <f>AF$8/100*AF20+AF$11/100*AF20</f>
        <v>0</v>
      </c>
      <c r="AH20" s="178">
        <f>IF(AE20&lt;=AF$13,0,AF$7/AF$14)</f>
        <v>0</v>
      </c>
      <c r="AI20" s="178">
        <f t="shared" ref="AI20:AI34" si="27">AG20+AH20</f>
        <v>0</v>
      </c>
      <c r="AJ20" s="119"/>
      <c r="AK20" s="234">
        <v>5</v>
      </c>
      <c r="AL20" s="235">
        <f t="shared" si="2"/>
        <v>0</v>
      </c>
      <c r="AM20" s="143">
        <f t="shared" si="3"/>
        <v>0</v>
      </c>
      <c r="AN20" s="143">
        <f t="shared" si="12"/>
        <v>0</v>
      </c>
      <c r="AO20" s="119"/>
      <c r="AP20" s="234">
        <v>5</v>
      </c>
      <c r="AQ20" s="143">
        <f t="shared" si="19"/>
        <v>0</v>
      </c>
      <c r="AR20" s="143">
        <f t="shared" si="4"/>
        <v>0</v>
      </c>
      <c r="AS20" s="143">
        <f t="shared" si="13"/>
        <v>0</v>
      </c>
      <c r="AT20" s="143">
        <f t="shared" si="14"/>
        <v>0</v>
      </c>
    </row>
    <row r="21" spans="1:46" ht="13.2">
      <c r="A21" s="234">
        <v>6</v>
      </c>
      <c r="B21" s="233">
        <f t="shared" si="5"/>
        <v>0</v>
      </c>
      <c r="C21" s="233">
        <f t="shared" si="6"/>
        <v>0</v>
      </c>
      <c r="D21" s="233">
        <f t="shared" si="7"/>
        <v>0</v>
      </c>
      <c r="E21" s="233">
        <f t="shared" si="8"/>
        <v>0</v>
      </c>
      <c r="F21" s="194"/>
      <c r="G21" s="234">
        <v>6</v>
      </c>
      <c r="H21" s="143">
        <f t="shared" si="9"/>
        <v>0</v>
      </c>
      <c r="I21" s="143">
        <f t="shared" si="20"/>
        <v>0</v>
      </c>
      <c r="J21" s="143">
        <f t="shared" si="24"/>
        <v>0</v>
      </c>
      <c r="K21" s="143">
        <f t="shared" si="15"/>
        <v>0</v>
      </c>
      <c r="L21" s="194"/>
      <c r="M21" s="234">
        <v>6</v>
      </c>
      <c r="N21" s="143">
        <f t="shared" si="10"/>
        <v>0</v>
      </c>
      <c r="O21" s="143">
        <f t="shared" si="21"/>
        <v>0</v>
      </c>
      <c r="P21" s="143">
        <f t="shared" si="25"/>
        <v>0</v>
      </c>
      <c r="Q21" s="143">
        <f t="shared" si="0"/>
        <v>0</v>
      </c>
      <c r="R21" s="194"/>
      <c r="S21" s="234">
        <v>6</v>
      </c>
      <c r="T21" s="143">
        <f t="shared" si="11"/>
        <v>0</v>
      </c>
      <c r="U21" s="143">
        <f t="shared" si="22"/>
        <v>0</v>
      </c>
      <c r="V21" s="143">
        <f t="shared" si="26"/>
        <v>0</v>
      </c>
      <c r="W21" s="143">
        <f t="shared" si="1"/>
        <v>0</v>
      </c>
      <c r="X21" s="194"/>
      <c r="Y21" s="234">
        <v>4</v>
      </c>
      <c r="Z21" s="143">
        <f t="shared" si="23"/>
        <v>0</v>
      </c>
      <c r="AA21" s="205">
        <f t="shared" si="16"/>
        <v>0</v>
      </c>
      <c r="AB21" s="178">
        <f t="shared" si="17"/>
        <v>0</v>
      </c>
      <c r="AC21" s="143">
        <f t="shared" si="18"/>
        <v>0</v>
      </c>
      <c r="AD21" s="194"/>
      <c r="AE21" s="234">
        <v>2</v>
      </c>
      <c r="AF21" s="143">
        <f>IF((AF20-AH20)&lt;0,0,AF20-AH20)</f>
        <v>0</v>
      </c>
      <c r="AG21" s="143">
        <f>AF$8/100*AF21+AF$11/100*AF21</f>
        <v>0</v>
      </c>
      <c r="AH21" s="178">
        <f t="shared" ref="AH21:AH34" si="28">IF(AE21&lt;=AF$13,0,AF$7/AF$14)</f>
        <v>0</v>
      </c>
      <c r="AI21" s="143">
        <f t="shared" si="27"/>
        <v>0</v>
      </c>
      <c r="AJ21" s="119"/>
      <c r="AK21" s="234">
        <v>6</v>
      </c>
      <c r="AL21" s="235">
        <f t="shared" si="2"/>
        <v>0</v>
      </c>
      <c r="AM21" s="143">
        <f t="shared" si="3"/>
        <v>0</v>
      </c>
      <c r="AN21" s="143">
        <f t="shared" si="12"/>
        <v>0</v>
      </c>
      <c r="AO21" s="119"/>
      <c r="AP21" s="234">
        <v>6</v>
      </c>
      <c r="AQ21" s="143">
        <f t="shared" si="19"/>
        <v>0</v>
      </c>
      <c r="AR21" s="143">
        <f t="shared" si="4"/>
        <v>0</v>
      </c>
      <c r="AS21" s="143">
        <f t="shared" si="13"/>
        <v>0</v>
      </c>
      <c r="AT21" s="143">
        <f t="shared" si="14"/>
        <v>0</v>
      </c>
    </row>
    <row r="22" spans="1:46" ht="13.2">
      <c r="A22" s="234">
        <v>7</v>
      </c>
      <c r="B22" s="233">
        <f t="shared" si="5"/>
        <v>0</v>
      </c>
      <c r="C22" s="233">
        <f t="shared" si="6"/>
        <v>0</v>
      </c>
      <c r="D22" s="233">
        <f t="shared" si="7"/>
        <v>0</v>
      </c>
      <c r="E22" s="233">
        <f t="shared" si="8"/>
        <v>0</v>
      </c>
      <c r="F22" s="194"/>
      <c r="G22" s="234">
        <v>7</v>
      </c>
      <c r="H22" s="143">
        <f t="shared" si="9"/>
        <v>0</v>
      </c>
      <c r="I22" s="143">
        <f t="shared" si="20"/>
        <v>0</v>
      </c>
      <c r="J22" s="143">
        <f t="shared" si="24"/>
        <v>0</v>
      </c>
      <c r="K22" s="143">
        <f t="shared" si="15"/>
        <v>0</v>
      </c>
      <c r="L22" s="194"/>
      <c r="M22" s="234">
        <v>7</v>
      </c>
      <c r="N22" s="143">
        <f t="shared" si="10"/>
        <v>0</v>
      </c>
      <c r="O22" s="143">
        <f t="shared" si="21"/>
        <v>0</v>
      </c>
      <c r="P22" s="143">
        <f t="shared" si="25"/>
        <v>0</v>
      </c>
      <c r="Q22" s="143">
        <f t="shared" si="0"/>
        <v>0</v>
      </c>
      <c r="R22" s="194"/>
      <c r="S22" s="234">
        <v>7</v>
      </c>
      <c r="T22" s="143">
        <f t="shared" si="11"/>
        <v>0</v>
      </c>
      <c r="U22" s="143">
        <f t="shared" si="22"/>
        <v>0</v>
      </c>
      <c r="V22" s="143">
        <f t="shared" si="26"/>
        <v>0</v>
      </c>
      <c r="W22" s="143">
        <f t="shared" si="1"/>
        <v>0</v>
      </c>
      <c r="X22" s="194"/>
      <c r="Y22" s="234">
        <v>5</v>
      </c>
      <c r="Z22" s="143">
        <f t="shared" si="23"/>
        <v>0</v>
      </c>
      <c r="AA22" s="205">
        <f t="shared" si="16"/>
        <v>0</v>
      </c>
      <c r="AB22" s="178">
        <f t="shared" si="17"/>
        <v>0</v>
      </c>
      <c r="AC22" s="143">
        <f t="shared" si="18"/>
        <v>0</v>
      </c>
      <c r="AD22" s="194"/>
      <c r="AE22" s="234">
        <v>3</v>
      </c>
      <c r="AF22" s="143">
        <f t="shared" ref="AF22:AF34" si="29">IF((AF21-AH21)&lt;0,0,AF21-AH21)</f>
        <v>0</v>
      </c>
      <c r="AG22" s="143">
        <f>AF$8/100*AF22+AF$11/100*AF22</f>
        <v>0</v>
      </c>
      <c r="AH22" s="178">
        <f t="shared" si="28"/>
        <v>0</v>
      </c>
      <c r="AI22" s="143">
        <f t="shared" si="27"/>
        <v>0</v>
      </c>
      <c r="AJ22" s="119"/>
      <c r="AK22" s="234">
        <v>7</v>
      </c>
      <c r="AL22" s="235">
        <f t="shared" si="2"/>
        <v>0</v>
      </c>
      <c r="AM22" s="143">
        <f t="shared" si="3"/>
        <v>0</v>
      </c>
      <c r="AN22" s="143">
        <f t="shared" si="12"/>
        <v>0</v>
      </c>
      <c r="AO22" s="119"/>
      <c r="AP22" s="234">
        <v>7</v>
      </c>
      <c r="AQ22" s="143">
        <f t="shared" si="19"/>
        <v>0</v>
      </c>
      <c r="AR22" s="143">
        <f t="shared" si="4"/>
        <v>0</v>
      </c>
      <c r="AS22" s="143">
        <f t="shared" si="13"/>
        <v>0</v>
      </c>
      <c r="AT22" s="143">
        <f t="shared" si="14"/>
        <v>0</v>
      </c>
    </row>
    <row r="23" spans="1:46" ht="13.2">
      <c r="A23" s="234">
        <v>8</v>
      </c>
      <c r="B23" s="233">
        <f t="shared" si="5"/>
        <v>0</v>
      </c>
      <c r="C23" s="233">
        <f t="shared" si="6"/>
        <v>0</v>
      </c>
      <c r="D23" s="233">
        <f t="shared" si="7"/>
        <v>0</v>
      </c>
      <c r="E23" s="233">
        <f t="shared" si="8"/>
        <v>0</v>
      </c>
      <c r="F23" s="194"/>
      <c r="G23" s="234">
        <v>8</v>
      </c>
      <c r="H23" s="143">
        <f t="shared" si="9"/>
        <v>0</v>
      </c>
      <c r="I23" s="143">
        <f t="shared" si="20"/>
        <v>0</v>
      </c>
      <c r="J23" s="143">
        <f t="shared" si="24"/>
        <v>0</v>
      </c>
      <c r="K23" s="143">
        <f t="shared" si="15"/>
        <v>0</v>
      </c>
      <c r="L23" s="194"/>
      <c r="M23" s="234">
        <v>8</v>
      </c>
      <c r="N23" s="143">
        <f t="shared" si="10"/>
        <v>0</v>
      </c>
      <c r="O23" s="143">
        <f t="shared" si="21"/>
        <v>0</v>
      </c>
      <c r="P23" s="143">
        <f t="shared" si="25"/>
        <v>0</v>
      </c>
      <c r="Q23" s="143">
        <f t="shared" si="0"/>
        <v>0</v>
      </c>
      <c r="R23" s="194"/>
      <c r="S23" s="234">
        <v>8</v>
      </c>
      <c r="T23" s="143">
        <f t="shared" si="11"/>
        <v>0</v>
      </c>
      <c r="U23" s="143">
        <f t="shared" si="22"/>
        <v>0</v>
      </c>
      <c r="V23" s="143">
        <f t="shared" si="26"/>
        <v>0</v>
      </c>
      <c r="W23" s="143">
        <f t="shared" si="1"/>
        <v>0</v>
      </c>
      <c r="X23" s="194"/>
      <c r="Y23" s="234">
        <v>6</v>
      </c>
      <c r="Z23" s="143">
        <f t="shared" si="23"/>
        <v>0</v>
      </c>
      <c r="AA23" s="205">
        <f t="shared" si="16"/>
        <v>0</v>
      </c>
      <c r="AB23" s="178">
        <f t="shared" si="17"/>
        <v>0</v>
      </c>
      <c r="AC23" s="143">
        <f t="shared" si="18"/>
        <v>0</v>
      </c>
      <c r="AD23" s="194"/>
      <c r="AE23" s="234">
        <v>4</v>
      </c>
      <c r="AF23" s="143">
        <f t="shared" si="29"/>
        <v>0</v>
      </c>
      <c r="AG23" s="143">
        <f t="shared" ref="AG23:AG29" si="30">AF$9/100*AF23+AF$11/100*AF23</f>
        <v>0</v>
      </c>
      <c r="AH23" s="178">
        <f t="shared" si="28"/>
        <v>0</v>
      </c>
      <c r="AI23" s="143">
        <f t="shared" si="27"/>
        <v>0</v>
      </c>
      <c r="AJ23" s="119"/>
      <c r="AK23" s="234">
        <v>8</v>
      </c>
      <c r="AL23" s="235">
        <f t="shared" si="2"/>
        <v>0</v>
      </c>
      <c r="AM23" s="143">
        <f t="shared" si="3"/>
        <v>0</v>
      </c>
      <c r="AN23" s="143">
        <f t="shared" si="12"/>
        <v>0</v>
      </c>
      <c r="AO23" s="119"/>
      <c r="AP23" s="234">
        <v>8</v>
      </c>
      <c r="AQ23" s="143">
        <f t="shared" si="19"/>
        <v>0</v>
      </c>
      <c r="AR23" s="143">
        <f t="shared" si="4"/>
        <v>0</v>
      </c>
      <c r="AS23" s="143">
        <f t="shared" si="13"/>
        <v>0</v>
      </c>
      <c r="AT23" s="143">
        <f t="shared" si="14"/>
        <v>0</v>
      </c>
    </row>
    <row r="24" spans="1:46" ht="13.2">
      <c r="A24" s="234">
        <v>9</v>
      </c>
      <c r="B24" s="233">
        <f t="shared" si="5"/>
        <v>0</v>
      </c>
      <c r="C24" s="233">
        <f t="shared" si="6"/>
        <v>0</v>
      </c>
      <c r="D24" s="233">
        <f t="shared" si="7"/>
        <v>0</v>
      </c>
      <c r="E24" s="233">
        <f t="shared" si="8"/>
        <v>0</v>
      </c>
      <c r="F24" s="194"/>
      <c r="G24" s="234">
        <v>9</v>
      </c>
      <c r="H24" s="143">
        <f t="shared" si="9"/>
        <v>0</v>
      </c>
      <c r="I24" s="143">
        <f t="shared" si="20"/>
        <v>0</v>
      </c>
      <c r="J24" s="143">
        <f t="shared" si="24"/>
        <v>0</v>
      </c>
      <c r="K24" s="143">
        <f t="shared" si="15"/>
        <v>0</v>
      </c>
      <c r="L24" s="194"/>
      <c r="M24" s="234">
        <v>9</v>
      </c>
      <c r="N24" s="143">
        <f t="shared" si="10"/>
        <v>0</v>
      </c>
      <c r="O24" s="143">
        <f t="shared" si="21"/>
        <v>0</v>
      </c>
      <c r="P24" s="143">
        <f t="shared" si="25"/>
        <v>0</v>
      </c>
      <c r="Q24" s="143">
        <f t="shared" si="0"/>
        <v>0</v>
      </c>
      <c r="R24" s="194"/>
      <c r="S24" s="234">
        <v>9</v>
      </c>
      <c r="T24" s="143">
        <f t="shared" si="11"/>
        <v>0</v>
      </c>
      <c r="U24" s="143">
        <f t="shared" si="22"/>
        <v>0</v>
      </c>
      <c r="V24" s="143">
        <f t="shared" si="26"/>
        <v>0</v>
      </c>
      <c r="W24" s="143">
        <f t="shared" si="1"/>
        <v>0</v>
      </c>
      <c r="X24" s="194"/>
      <c r="Y24" s="234">
        <v>7</v>
      </c>
      <c r="Z24" s="143">
        <f t="shared" si="23"/>
        <v>0</v>
      </c>
      <c r="AA24" s="205">
        <f t="shared" si="16"/>
        <v>0</v>
      </c>
      <c r="AB24" s="178">
        <f t="shared" si="17"/>
        <v>0</v>
      </c>
      <c r="AC24" s="143">
        <f t="shared" si="18"/>
        <v>0</v>
      </c>
      <c r="AD24" s="194"/>
      <c r="AE24" s="234">
        <v>5</v>
      </c>
      <c r="AF24" s="143">
        <f t="shared" si="29"/>
        <v>0</v>
      </c>
      <c r="AG24" s="143">
        <f t="shared" si="30"/>
        <v>0</v>
      </c>
      <c r="AH24" s="178">
        <f t="shared" si="28"/>
        <v>0</v>
      </c>
      <c r="AI24" s="143">
        <f t="shared" si="27"/>
        <v>0</v>
      </c>
      <c r="AJ24" s="119"/>
      <c r="AK24" s="234">
        <v>9</v>
      </c>
      <c r="AL24" s="235">
        <f t="shared" si="2"/>
        <v>0</v>
      </c>
      <c r="AM24" s="143">
        <f t="shared" si="3"/>
        <v>0</v>
      </c>
      <c r="AN24" s="143">
        <f t="shared" si="12"/>
        <v>0</v>
      </c>
      <c r="AO24" s="119"/>
      <c r="AP24" s="234">
        <v>9</v>
      </c>
      <c r="AQ24" s="143">
        <f t="shared" si="19"/>
        <v>0</v>
      </c>
      <c r="AR24" s="143">
        <f t="shared" si="4"/>
        <v>0</v>
      </c>
      <c r="AS24" s="143">
        <f t="shared" si="13"/>
        <v>0</v>
      </c>
      <c r="AT24" s="143">
        <f t="shared" si="14"/>
        <v>0</v>
      </c>
    </row>
    <row r="25" spans="1:46" ht="13.2">
      <c r="A25" s="234">
        <v>10</v>
      </c>
      <c r="B25" s="233">
        <f t="shared" si="5"/>
        <v>0</v>
      </c>
      <c r="C25" s="233">
        <f t="shared" si="6"/>
        <v>0</v>
      </c>
      <c r="D25" s="233">
        <f t="shared" si="7"/>
        <v>0</v>
      </c>
      <c r="E25" s="233">
        <f t="shared" si="8"/>
        <v>0</v>
      </c>
      <c r="F25" s="194"/>
      <c r="G25" s="234">
        <v>10</v>
      </c>
      <c r="H25" s="143">
        <f t="shared" si="9"/>
        <v>0</v>
      </c>
      <c r="I25" s="143">
        <f t="shared" si="20"/>
        <v>0</v>
      </c>
      <c r="J25" s="143">
        <f t="shared" si="24"/>
        <v>0</v>
      </c>
      <c r="K25" s="143">
        <f t="shared" si="15"/>
        <v>0</v>
      </c>
      <c r="L25" s="194"/>
      <c r="M25" s="234">
        <v>10</v>
      </c>
      <c r="N25" s="143">
        <f t="shared" si="10"/>
        <v>0</v>
      </c>
      <c r="O25" s="143">
        <f t="shared" si="21"/>
        <v>0</v>
      </c>
      <c r="P25" s="143">
        <f t="shared" si="25"/>
        <v>0</v>
      </c>
      <c r="Q25" s="143">
        <f t="shared" si="0"/>
        <v>0</v>
      </c>
      <c r="R25" s="194"/>
      <c r="S25" s="234">
        <v>10</v>
      </c>
      <c r="T25" s="143">
        <f t="shared" si="11"/>
        <v>0</v>
      </c>
      <c r="U25" s="143">
        <f t="shared" si="22"/>
        <v>0</v>
      </c>
      <c r="V25" s="143">
        <f t="shared" si="26"/>
        <v>0</v>
      </c>
      <c r="W25" s="143">
        <f t="shared" si="1"/>
        <v>0</v>
      </c>
      <c r="X25" s="194"/>
      <c r="Y25" s="234">
        <v>8</v>
      </c>
      <c r="Z25" s="143">
        <f t="shared" si="23"/>
        <v>0</v>
      </c>
      <c r="AA25" s="205">
        <f t="shared" si="16"/>
        <v>0</v>
      </c>
      <c r="AB25" s="178">
        <f t="shared" si="17"/>
        <v>0</v>
      </c>
      <c r="AC25" s="143">
        <f t="shared" si="18"/>
        <v>0</v>
      </c>
      <c r="AD25" s="194"/>
      <c r="AE25" s="234">
        <v>6</v>
      </c>
      <c r="AF25" s="143">
        <f t="shared" si="29"/>
        <v>0</v>
      </c>
      <c r="AG25" s="143">
        <f t="shared" si="30"/>
        <v>0</v>
      </c>
      <c r="AH25" s="178">
        <f t="shared" si="28"/>
        <v>0</v>
      </c>
      <c r="AI25" s="143">
        <f t="shared" si="27"/>
        <v>0</v>
      </c>
      <c r="AJ25" s="119"/>
      <c r="AK25" s="234">
        <v>10</v>
      </c>
      <c r="AL25" s="235">
        <f t="shared" si="2"/>
        <v>0</v>
      </c>
      <c r="AM25" s="143">
        <f t="shared" si="3"/>
        <v>0</v>
      </c>
      <c r="AN25" s="143">
        <f t="shared" si="12"/>
        <v>0</v>
      </c>
      <c r="AO25" s="119"/>
      <c r="AP25" s="234">
        <v>10</v>
      </c>
      <c r="AQ25" s="143">
        <f t="shared" si="19"/>
        <v>0</v>
      </c>
      <c r="AR25" s="143">
        <f t="shared" si="4"/>
        <v>0</v>
      </c>
      <c r="AS25" s="143">
        <f t="shared" si="13"/>
        <v>0</v>
      </c>
      <c r="AT25" s="143">
        <f t="shared" si="14"/>
        <v>0</v>
      </c>
    </row>
    <row r="26" spans="1:46" ht="13.2">
      <c r="A26" s="234">
        <v>11</v>
      </c>
      <c r="B26" s="233">
        <f t="shared" si="5"/>
        <v>0</v>
      </c>
      <c r="C26" s="233">
        <f>I26+O26+U26+AG30+AM26+AR26</f>
        <v>0</v>
      </c>
      <c r="D26" s="233">
        <f>J26+P26+V26+AH30+AS26</f>
        <v>0</v>
      </c>
      <c r="E26" s="233">
        <f>K26+Q26+W26+AI30+AT26+AN26</f>
        <v>0</v>
      </c>
      <c r="F26" s="194"/>
      <c r="G26" s="234">
        <v>11</v>
      </c>
      <c r="H26" s="143">
        <f t="shared" si="9"/>
        <v>0</v>
      </c>
      <c r="I26" s="143">
        <f t="shared" si="20"/>
        <v>0</v>
      </c>
      <c r="J26" s="143">
        <f t="shared" si="24"/>
        <v>0</v>
      </c>
      <c r="K26" s="143">
        <f t="shared" si="15"/>
        <v>0</v>
      </c>
      <c r="L26" s="194"/>
      <c r="M26" s="234">
        <v>11</v>
      </c>
      <c r="N26" s="143">
        <f t="shared" si="10"/>
        <v>0</v>
      </c>
      <c r="O26" s="143">
        <f t="shared" si="21"/>
        <v>0</v>
      </c>
      <c r="P26" s="143">
        <f t="shared" si="25"/>
        <v>0</v>
      </c>
      <c r="Q26" s="143">
        <f t="shared" si="0"/>
        <v>0</v>
      </c>
      <c r="R26" s="194"/>
      <c r="S26" s="234">
        <v>11</v>
      </c>
      <c r="T26" s="143">
        <f t="shared" si="11"/>
        <v>0</v>
      </c>
      <c r="U26" s="143">
        <f t="shared" si="22"/>
        <v>0</v>
      </c>
      <c r="V26" s="143">
        <f t="shared" si="26"/>
        <v>0</v>
      </c>
      <c r="W26" s="143">
        <f t="shared" si="1"/>
        <v>0</v>
      </c>
      <c r="X26" s="194"/>
      <c r="Y26" s="234">
        <v>9</v>
      </c>
      <c r="Z26" s="143">
        <f t="shared" si="23"/>
        <v>0</v>
      </c>
      <c r="AA26" s="205">
        <f t="shared" si="16"/>
        <v>0</v>
      </c>
      <c r="AB26" s="178">
        <f t="shared" si="17"/>
        <v>0</v>
      </c>
      <c r="AC26" s="143">
        <f t="shared" si="18"/>
        <v>0</v>
      </c>
      <c r="AD26" s="194"/>
      <c r="AE26" s="234">
        <v>7</v>
      </c>
      <c r="AF26" s="143">
        <f t="shared" si="29"/>
        <v>0</v>
      </c>
      <c r="AG26" s="143">
        <f t="shared" si="30"/>
        <v>0</v>
      </c>
      <c r="AH26" s="178">
        <f t="shared" si="28"/>
        <v>0</v>
      </c>
      <c r="AI26" s="143">
        <f t="shared" si="27"/>
        <v>0</v>
      </c>
      <c r="AJ26" s="119"/>
      <c r="AK26" s="234">
        <v>11</v>
      </c>
      <c r="AL26" s="235">
        <f t="shared" si="2"/>
        <v>0</v>
      </c>
      <c r="AM26" s="143">
        <f t="shared" si="3"/>
        <v>0</v>
      </c>
      <c r="AN26" s="143">
        <f t="shared" si="12"/>
        <v>0</v>
      </c>
      <c r="AO26" s="119"/>
      <c r="AP26" s="234">
        <v>11</v>
      </c>
      <c r="AQ26" s="143">
        <f t="shared" si="19"/>
        <v>0</v>
      </c>
      <c r="AR26" s="143">
        <f t="shared" si="4"/>
        <v>0</v>
      </c>
      <c r="AS26" s="143">
        <f t="shared" si="13"/>
        <v>0</v>
      </c>
      <c r="AT26" s="143">
        <f t="shared" si="14"/>
        <v>0</v>
      </c>
    </row>
    <row r="27" spans="1:46" ht="13.2">
      <c r="A27" s="234">
        <v>12</v>
      </c>
      <c r="B27" s="233">
        <f t="shared" si="5"/>
        <v>0</v>
      </c>
      <c r="C27" s="233">
        <f t="shared" ref="C27:C30" si="31">I27+O27+U27+AG31+AM27+AR27</f>
        <v>0</v>
      </c>
      <c r="D27" s="233">
        <f>J27+P27+V27+AH31+AS27</f>
        <v>0</v>
      </c>
      <c r="E27" s="233">
        <f t="shared" ref="E27:E30" si="32">K27+Q27+W27+AI31+AT27+AN27</f>
        <v>0</v>
      </c>
      <c r="F27" s="194"/>
      <c r="G27" s="234">
        <v>12</v>
      </c>
      <c r="H27" s="143">
        <f t="shared" si="9"/>
        <v>0</v>
      </c>
      <c r="I27" s="143">
        <f t="shared" si="20"/>
        <v>0</v>
      </c>
      <c r="J27" s="143">
        <f t="shared" si="24"/>
        <v>0</v>
      </c>
      <c r="K27" s="143">
        <f t="shared" si="15"/>
        <v>0</v>
      </c>
      <c r="L27" s="194"/>
      <c r="M27" s="234">
        <v>12</v>
      </c>
      <c r="N27" s="143">
        <f t="shared" si="10"/>
        <v>0</v>
      </c>
      <c r="O27" s="143">
        <f t="shared" si="21"/>
        <v>0</v>
      </c>
      <c r="P27" s="143">
        <f t="shared" si="25"/>
        <v>0</v>
      </c>
      <c r="Q27" s="143">
        <f t="shared" si="0"/>
        <v>0</v>
      </c>
      <c r="R27" s="194"/>
      <c r="S27" s="234">
        <v>12</v>
      </c>
      <c r="T27" s="143">
        <f t="shared" si="11"/>
        <v>0</v>
      </c>
      <c r="U27" s="143">
        <f t="shared" si="22"/>
        <v>0</v>
      </c>
      <c r="V27" s="143">
        <f t="shared" si="26"/>
        <v>0</v>
      </c>
      <c r="W27" s="143">
        <f t="shared" si="1"/>
        <v>0</v>
      </c>
      <c r="X27" s="194"/>
      <c r="Y27" s="156">
        <v>10</v>
      </c>
      <c r="Z27" s="164">
        <f t="shared" si="23"/>
        <v>0</v>
      </c>
      <c r="AA27" s="167">
        <f t="shared" si="16"/>
        <v>0</v>
      </c>
      <c r="AB27" s="172">
        <f>IF(AND(Y27&lt;=Z$11,Y27&lt;Z10),0,Z$7/Z$12)</f>
        <v>0</v>
      </c>
      <c r="AC27" s="164">
        <f t="shared" si="18"/>
        <v>0</v>
      </c>
      <c r="AD27" s="194"/>
      <c r="AE27" s="234">
        <v>8</v>
      </c>
      <c r="AF27" s="143">
        <f t="shared" si="29"/>
        <v>0</v>
      </c>
      <c r="AG27" s="143">
        <f t="shared" si="30"/>
        <v>0</v>
      </c>
      <c r="AH27" s="178">
        <f t="shared" si="28"/>
        <v>0</v>
      </c>
      <c r="AI27" s="143">
        <f t="shared" si="27"/>
        <v>0</v>
      </c>
      <c r="AJ27" s="119"/>
      <c r="AK27" s="234">
        <v>12</v>
      </c>
      <c r="AL27" s="235">
        <f t="shared" si="2"/>
        <v>0</v>
      </c>
      <c r="AM27" s="143">
        <f t="shared" si="3"/>
        <v>0</v>
      </c>
      <c r="AN27" s="143">
        <f t="shared" si="12"/>
        <v>0</v>
      </c>
      <c r="AO27" s="119"/>
      <c r="AP27" s="234">
        <v>12</v>
      </c>
      <c r="AQ27" s="143">
        <f t="shared" si="19"/>
        <v>0</v>
      </c>
      <c r="AR27" s="143">
        <f t="shared" si="4"/>
        <v>0</v>
      </c>
      <c r="AS27" s="143">
        <f t="shared" si="13"/>
        <v>0</v>
      </c>
      <c r="AT27" s="143">
        <f t="shared" si="14"/>
        <v>0</v>
      </c>
    </row>
    <row r="28" spans="1:46" ht="13.2">
      <c r="A28" s="234">
        <v>13</v>
      </c>
      <c r="B28" s="233">
        <f t="shared" si="5"/>
        <v>0</v>
      </c>
      <c r="C28" s="233">
        <f t="shared" si="31"/>
        <v>0</v>
      </c>
      <c r="D28" s="233">
        <f>J28+P28+V28+AH32+AS28</f>
        <v>0</v>
      </c>
      <c r="E28" s="233">
        <f t="shared" si="32"/>
        <v>0</v>
      </c>
      <c r="F28" s="194"/>
      <c r="G28" s="234">
        <v>13</v>
      </c>
      <c r="H28" s="143">
        <f t="shared" si="9"/>
        <v>0</v>
      </c>
      <c r="I28" s="143">
        <f t="shared" si="20"/>
        <v>0</v>
      </c>
      <c r="J28" s="143">
        <f t="shared" si="24"/>
        <v>0</v>
      </c>
      <c r="K28" s="143">
        <f t="shared" si="15"/>
        <v>0</v>
      </c>
      <c r="L28" s="194"/>
      <c r="M28" s="234">
        <v>13</v>
      </c>
      <c r="N28" s="143">
        <f t="shared" si="10"/>
        <v>0</v>
      </c>
      <c r="O28" s="143">
        <f t="shared" si="21"/>
        <v>0</v>
      </c>
      <c r="P28" s="143">
        <f t="shared" si="25"/>
        <v>0</v>
      </c>
      <c r="Q28" s="143">
        <f t="shared" si="0"/>
        <v>0</v>
      </c>
      <c r="R28" s="194"/>
      <c r="S28" s="234">
        <v>13</v>
      </c>
      <c r="T28" s="143">
        <f t="shared" si="11"/>
        <v>0</v>
      </c>
      <c r="U28" s="143">
        <f t="shared" si="22"/>
        <v>0</v>
      </c>
      <c r="V28" s="143">
        <f t="shared" si="26"/>
        <v>0</v>
      </c>
      <c r="W28" s="143">
        <f t="shared" si="1"/>
        <v>0</v>
      </c>
      <c r="X28" s="194"/>
      <c r="Y28" s="831"/>
      <c r="Z28" s="832"/>
      <c r="AA28" s="832"/>
      <c r="AB28" s="832"/>
      <c r="AC28" s="832"/>
      <c r="AD28" s="194"/>
      <c r="AE28" s="234">
        <v>9</v>
      </c>
      <c r="AF28" s="143">
        <f t="shared" si="29"/>
        <v>0</v>
      </c>
      <c r="AG28" s="143">
        <f t="shared" si="30"/>
        <v>0</v>
      </c>
      <c r="AH28" s="178">
        <f t="shared" si="28"/>
        <v>0</v>
      </c>
      <c r="AI28" s="143">
        <f t="shared" si="27"/>
        <v>0</v>
      </c>
      <c r="AJ28" s="119"/>
      <c r="AK28" s="234">
        <v>13</v>
      </c>
      <c r="AL28" s="235">
        <f t="shared" si="2"/>
        <v>0</v>
      </c>
      <c r="AM28" s="143">
        <f t="shared" si="3"/>
        <v>0</v>
      </c>
      <c r="AN28" s="143">
        <f t="shared" si="12"/>
        <v>0</v>
      </c>
      <c r="AO28" s="119"/>
      <c r="AP28" s="234">
        <v>13</v>
      </c>
      <c r="AQ28" s="143">
        <f t="shared" si="19"/>
        <v>0</v>
      </c>
      <c r="AR28" s="143">
        <f t="shared" si="4"/>
        <v>0</v>
      </c>
      <c r="AS28" s="143">
        <f t="shared" si="13"/>
        <v>0</v>
      </c>
      <c r="AT28" s="143">
        <f t="shared" si="14"/>
        <v>0</v>
      </c>
    </row>
    <row r="29" spans="1:46" ht="13.2">
      <c r="A29" s="234">
        <v>14</v>
      </c>
      <c r="B29" s="233">
        <f t="shared" si="5"/>
        <v>0</v>
      </c>
      <c r="C29" s="233">
        <f t="shared" si="31"/>
        <v>0</v>
      </c>
      <c r="D29" s="233">
        <f>J29+P29+V29+AH33+AS29</f>
        <v>0</v>
      </c>
      <c r="E29" s="233">
        <f t="shared" si="32"/>
        <v>0</v>
      </c>
      <c r="F29" s="194"/>
      <c r="G29" s="234">
        <v>14</v>
      </c>
      <c r="H29" s="143">
        <f t="shared" si="9"/>
        <v>0</v>
      </c>
      <c r="I29" s="143">
        <f t="shared" si="20"/>
        <v>0</v>
      </c>
      <c r="J29" s="143">
        <f t="shared" si="24"/>
        <v>0</v>
      </c>
      <c r="K29" s="143">
        <f t="shared" si="15"/>
        <v>0</v>
      </c>
      <c r="L29" s="194"/>
      <c r="M29" s="234">
        <v>14</v>
      </c>
      <c r="N29" s="143">
        <f t="shared" si="10"/>
        <v>0</v>
      </c>
      <c r="O29" s="143">
        <f t="shared" si="21"/>
        <v>0</v>
      </c>
      <c r="P29" s="143">
        <f t="shared" si="25"/>
        <v>0</v>
      </c>
      <c r="Q29" s="143">
        <f t="shared" si="0"/>
        <v>0</v>
      </c>
      <c r="R29" s="194"/>
      <c r="S29" s="234">
        <v>14</v>
      </c>
      <c r="T29" s="143">
        <f t="shared" si="11"/>
        <v>0</v>
      </c>
      <c r="U29" s="143">
        <f t="shared" si="22"/>
        <v>0</v>
      </c>
      <c r="V29" s="143">
        <f t="shared" si="26"/>
        <v>0</v>
      </c>
      <c r="W29" s="143">
        <f t="shared" si="1"/>
        <v>0</v>
      </c>
      <c r="X29" s="194"/>
      <c r="Y29" s="249" t="s">
        <v>276</v>
      </c>
      <c r="Z29" s="205"/>
      <c r="AA29" s="205">
        <f>SUM(AA18:AA28)</f>
        <v>0</v>
      </c>
      <c r="AB29" s="205">
        <f>SUM(AB18:AB28)</f>
        <v>0</v>
      </c>
      <c r="AC29" s="205">
        <f>SUM(AC18:AC28)</f>
        <v>0</v>
      </c>
      <c r="AD29" s="194"/>
      <c r="AE29" s="234">
        <v>10</v>
      </c>
      <c r="AF29" s="143">
        <f t="shared" si="29"/>
        <v>0</v>
      </c>
      <c r="AG29" s="143">
        <f t="shared" si="30"/>
        <v>0</v>
      </c>
      <c r="AH29" s="178">
        <f t="shared" si="28"/>
        <v>0</v>
      </c>
      <c r="AI29" s="143">
        <f t="shared" si="27"/>
        <v>0</v>
      </c>
      <c r="AJ29" s="119"/>
      <c r="AK29" s="234">
        <v>14</v>
      </c>
      <c r="AL29" s="235">
        <f t="shared" si="2"/>
        <v>0</v>
      </c>
      <c r="AM29" s="143">
        <f t="shared" si="3"/>
        <v>0</v>
      </c>
      <c r="AN29" s="143">
        <f t="shared" si="12"/>
        <v>0</v>
      </c>
      <c r="AO29" s="119"/>
      <c r="AP29" s="234">
        <v>14</v>
      </c>
      <c r="AQ29" s="143">
        <f t="shared" si="19"/>
        <v>0</v>
      </c>
      <c r="AR29" s="143">
        <f t="shared" si="4"/>
        <v>0</v>
      </c>
      <c r="AS29" s="143">
        <f t="shared" si="13"/>
        <v>0</v>
      </c>
      <c r="AT29" s="143">
        <f t="shared" si="14"/>
        <v>0</v>
      </c>
    </row>
    <row r="30" spans="1:46" ht="13.2">
      <c r="A30" s="234">
        <v>15</v>
      </c>
      <c r="B30" s="233">
        <f t="shared" si="5"/>
        <v>0</v>
      </c>
      <c r="C30" s="233">
        <f t="shared" si="31"/>
        <v>0</v>
      </c>
      <c r="D30" s="233">
        <f>J30+P30+V30+AH34+AS30</f>
        <v>0</v>
      </c>
      <c r="E30" s="233">
        <f t="shared" si="32"/>
        <v>0</v>
      </c>
      <c r="F30" s="194"/>
      <c r="G30" s="234">
        <v>15</v>
      </c>
      <c r="H30" s="143">
        <f t="shared" si="9"/>
        <v>0</v>
      </c>
      <c r="I30" s="143">
        <f t="shared" si="20"/>
        <v>0</v>
      </c>
      <c r="J30" s="143">
        <f t="shared" si="24"/>
        <v>0</v>
      </c>
      <c r="K30" s="143">
        <f t="shared" si="15"/>
        <v>0</v>
      </c>
      <c r="L30" s="194"/>
      <c r="M30" s="234">
        <v>15</v>
      </c>
      <c r="N30" s="143">
        <f t="shared" si="10"/>
        <v>0</v>
      </c>
      <c r="O30" s="143">
        <f t="shared" si="21"/>
        <v>0</v>
      </c>
      <c r="P30" s="143">
        <f t="shared" si="25"/>
        <v>0</v>
      </c>
      <c r="Q30" s="143">
        <f t="shared" si="0"/>
        <v>0</v>
      </c>
      <c r="R30" s="194"/>
      <c r="S30" s="234">
        <v>15</v>
      </c>
      <c r="T30" s="143">
        <f t="shared" si="11"/>
        <v>0</v>
      </c>
      <c r="U30" s="143">
        <f t="shared" si="22"/>
        <v>0</v>
      </c>
      <c r="V30" s="143">
        <f t="shared" si="26"/>
        <v>0</v>
      </c>
      <c r="W30" s="143">
        <f t="shared" si="1"/>
        <v>0</v>
      </c>
      <c r="X30" s="194"/>
      <c r="AD30" s="194"/>
      <c r="AE30" s="234">
        <v>11</v>
      </c>
      <c r="AF30" s="143">
        <f t="shared" si="29"/>
        <v>0</v>
      </c>
      <c r="AG30" s="143">
        <f>AF$10/100*AF30+AF$11/100*AF30</f>
        <v>0</v>
      </c>
      <c r="AH30" s="178">
        <f t="shared" si="28"/>
        <v>0</v>
      </c>
      <c r="AI30" s="143">
        <f t="shared" si="27"/>
        <v>0</v>
      </c>
      <c r="AJ30" s="119"/>
      <c r="AK30" s="234">
        <v>15</v>
      </c>
      <c r="AL30" s="235">
        <f t="shared" si="2"/>
        <v>0</v>
      </c>
      <c r="AM30" s="143">
        <f t="shared" si="3"/>
        <v>0</v>
      </c>
      <c r="AN30" s="143">
        <f t="shared" si="12"/>
        <v>0</v>
      </c>
      <c r="AO30" s="119"/>
      <c r="AP30" s="234">
        <v>15</v>
      </c>
      <c r="AQ30" s="143">
        <f t="shared" si="19"/>
        <v>0</v>
      </c>
      <c r="AR30" s="143">
        <f t="shared" si="4"/>
        <v>0</v>
      </c>
      <c r="AS30" s="143">
        <f t="shared" si="13"/>
        <v>0</v>
      </c>
      <c r="AT30" s="143">
        <f t="shared" si="14"/>
        <v>0</v>
      </c>
    </row>
    <row r="31" spans="1:46" ht="13.2">
      <c r="A31" s="234">
        <v>16</v>
      </c>
      <c r="B31" s="233">
        <f t="shared" si="5"/>
        <v>0</v>
      </c>
      <c r="C31" s="233">
        <f>I31+O31+U31+AM31+AR31</f>
        <v>0</v>
      </c>
      <c r="D31" s="233">
        <f>J31+P31+V31+AS31</f>
        <v>0</v>
      </c>
      <c r="E31" s="233">
        <f>K31+Q31+W31+AT31+AN31</f>
        <v>0</v>
      </c>
      <c r="F31" s="194"/>
      <c r="G31" s="234">
        <v>16</v>
      </c>
      <c r="H31" s="143">
        <f t="shared" si="9"/>
        <v>0</v>
      </c>
      <c r="I31" s="143">
        <f t="shared" si="20"/>
        <v>0</v>
      </c>
      <c r="J31" s="143">
        <f t="shared" si="24"/>
        <v>0</v>
      </c>
      <c r="K31" s="143">
        <f t="shared" si="15"/>
        <v>0</v>
      </c>
      <c r="L31" s="194"/>
      <c r="M31" s="234">
        <v>16</v>
      </c>
      <c r="N31" s="143">
        <f t="shared" si="10"/>
        <v>0</v>
      </c>
      <c r="O31" s="143">
        <f t="shared" si="21"/>
        <v>0</v>
      </c>
      <c r="P31" s="143">
        <f t="shared" si="25"/>
        <v>0</v>
      </c>
      <c r="Q31" s="143">
        <f t="shared" si="0"/>
        <v>0</v>
      </c>
      <c r="R31" s="194"/>
      <c r="S31" s="234">
        <v>16</v>
      </c>
      <c r="T31" s="143">
        <f t="shared" si="11"/>
        <v>0</v>
      </c>
      <c r="U31" s="143">
        <f t="shared" si="22"/>
        <v>0</v>
      </c>
      <c r="V31" s="143">
        <f t="shared" si="26"/>
        <v>0</v>
      </c>
      <c r="W31" s="143">
        <f t="shared" si="1"/>
        <v>0</v>
      </c>
      <c r="X31" s="194"/>
      <c r="Y31" s="248"/>
      <c r="Z31" s="248"/>
      <c r="AA31" s="248"/>
      <c r="AB31" s="248"/>
      <c r="AC31" s="248"/>
      <c r="AD31" s="194"/>
      <c r="AE31" s="234">
        <v>12</v>
      </c>
      <c r="AF31" s="143">
        <f t="shared" si="29"/>
        <v>0</v>
      </c>
      <c r="AG31" s="143">
        <f>AF$10/100*AF31+AF$11/100*AF31</f>
        <v>0</v>
      </c>
      <c r="AH31" s="178">
        <f t="shared" si="28"/>
        <v>0</v>
      </c>
      <c r="AI31" s="143">
        <f t="shared" si="27"/>
        <v>0</v>
      </c>
      <c r="AJ31" s="119"/>
      <c r="AK31" s="234">
        <v>16</v>
      </c>
      <c r="AL31" s="235">
        <f t="shared" si="2"/>
        <v>0</v>
      </c>
      <c r="AM31" s="143">
        <f t="shared" si="3"/>
        <v>0</v>
      </c>
      <c r="AN31" s="143">
        <f t="shared" si="12"/>
        <v>0</v>
      </c>
      <c r="AO31" s="119"/>
      <c r="AP31" s="234">
        <v>16</v>
      </c>
      <c r="AQ31" s="143">
        <f t="shared" si="19"/>
        <v>0</v>
      </c>
      <c r="AR31" s="143">
        <f t="shared" si="4"/>
        <v>0</v>
      </c>
      <c r="AS31" s="143">
        <f t="shared" si="13"/>
        <v>0</v>
      </c>
      <c r="AT31" s="143">
        <f t="shared" si="14"/>
        <v>0</v>
      </c>
    </row>
    <row r="32" spans="1:46" ht="13.2">
      <c r="A32" s="234">
        <v>17</v>
      </c>
      <c r="B32" s="233">
        <f t="shared" si="5"/>
        <v>0</v>
      </c>
      <c r="C32" s="233">
        <f t="shared" ref="C32:C34" si="33">I32+O32+U32+AM32+AR32</f>
        <v>0</v>
      </c>
      <c r="D32" s="233">
        <f>J32+P32+V32+AS32</f>
        <v>0</v>
      </c>
      <c r="E32" s="233">
        <f t="shared" ref="E32:E35" si="34">K32+Q32+W32+AT32+AN32</f>
        <v>0</v>
      </c>
      <c r="F32" s="194"/>
      <c r="G32" s="234">
        <v>17</v>
      </c>
      <c r="H32" s="143">
        <f t="shared" si="9"/>
        <v>0</v>
      </c>
      <c r="I32" s="143">
        <f t="shared" si="20"/>
        <v>0</v>
      </c>
      <c r="J32" s="143">
        <f t="shared" si="24"/>
        <v>0</v>
      </c>
      <c r="K32" s="143">
        <f t="shared" si="15"/>
        <v>0</v>
      </c>
      <c r="L32" s="194"/>
      <c r="M32" s="234">
        <v>17</v>
      </c>
      <c r="N32" s="143">
        <f t="shared" si="10"/>
        <v>0</v>
      </c>
      <c r="O32" s="143">
        <f t="shared" si="21"/>
        <v>0</v>
      </c>
      <c r="P32" s="143">
        <f t="shared" si="25"/>
        <v>0</v>
      </c>
      <c r="Q32" s="143">
        <f t="shared" si="0"/>
        <v>0</v>
      </c>
      <c r="R32" s="194"/>
      <c r="S32" s="234">
        <v>17</v>
      </c>
      <c r="T32" s="143">
        <f t="shared" si="11"/>
        <v>0</v>
      </c>
      <c r="U32" s="143">
        <f t="shared" si="22"/>
        <v>0</v>
      </c>
      <c r="V32" s="143">
        <f t="shared" si="26"/>
        <v>0</v>
      </c>
      <c r="W32" s="143">
        <f t="shared" si="1"/>
        <v>0</v>
      </c>
      <c r="X32" s="194"/>
      <c r="Y32" s="248"/>
      <c r="Z32" s="248"/>
      <c r="AA32" s="248"/>
      <c r="AB32" s="248"/>
      <c r="AC32" s="248"/>
      <c r="AD32" s="194"/>
      <c r="AE32" s="234">
        <v>13</v>
      </c>
      <c r="AF32" s="143">
        <f t="shared" si="29"/>
        <v>0</v>
      </c>
      <c r="AG32" s="143">
        <f>AF$10/100*AF32+AF$11/100*AF32</f>
        <v>0</v>
      </c>
      <c r="AH32" s="178">
        <f t="shared" si="28"/>
        <v>0</v>
      </c>
      <c r="AI32" s="143">
        <f t="shared" si="27"/>
        <v>0</v>
      </c>
      <c r="AJ32" s="119"/>
      <c r="AK32" s="234">
        <v>17</v>
      </c>
      <c r="AL32" s="235">
        <f t="shared" si="2"/>
        <v>0</v>
      </c>
      <c r="AM32" s="143">
        <f t="shared" si="3"/>
        <v>0</v>
      </c>
      <c r="AN32" s="143">
        <f t="shared" si="12"/>
        <v>0</v>
      </c>
      <c r="AO32" s="119"/>
      <c r="AP32" s="234">
        <v>17</v>
      </c>
      <c r="AQ32" s="143">
        <f>IF(AQ31-AS31&lt;0,0,AQ31-AS31)</f>
        <v>0</v>
      </c>
      <c r="AR32" s="143">
        <f t="shared" si="4"/>
        <v>0</v>
      </c>
      <c r="AS32" s="143">
        <f t="shared" si="13"/>
        <v>0</v>
      </c>
      <c r="AT32" s="143">
        <f t="shared" si="14"/>
        <v>0</v>
      </c>
    </row>
    <row r="33" spans="1:46" ht="13.2">
      <c r="A33" s="234">
        <v>18</v>
      </c>
      <c r="B33" s="233">
        <f t="shared" si="5"/>
        <v>0</v>
      </c>
      <c r="C33" s="233">
        <f t="shared" si="33"/>
        <v>0</v>
      </c>
      <c r="D33" s="233">
        <f>J33+P33+V33+AS33</f>
        <v>0</v>
      </c>
      <c r="E33" s="233">
        <f t="shared" si="34"/>
        <v>0</v>
      </c>
      <c r="F33" s="194"/>
      <c r="G33" s="234">
        <v>18</v>
      </c>
      <c r="H33" s="143">
        <f t="shared" si="9"/>
        <v>0</v>
      </c>
      <c r="I33" s="143">
        <f t="shared" si="20"/>
        <v>0</v>
      </c>
      <c r="J33" s="143">
        <f t="shared" si="24"/>
        <v>0</v>
      </c>
      <c r="K33" s="143">
        <f t="shared" si="15"/>
        <v>0</v>
      </c>
      <c r="L33" s="194"/>
      <c r="M33" s="234">
        <v>18</v>
      </c>
      <c r="N33" s="143">
        <f t="shared" si="10"/>
        <v>0</v>
      </c>
      <c r="O33" s="143">
        <f t="shared" si="21"/>
        <v>0</v>
      </c>
      <c r="P33" s="143">
        <f t="shared" si="25"/>
        <v>0</v>
      </c>
      <c r="Q33" s="143">
        <f t="shared" si="0"/>
        <v>0</v>
      </c>
      <c r="R33" s="194"/>
      <c r="S33" s="234">
        <v>18</v>
      </c>
      <c r="T33" s="143">
        <f t="shared" si="11"/>
        <v>0</v>
      </c>
      <c r="U33" s="143">
        <f t="shared" si="22"/>
        <v>0</v>
      </c>
      <c r="V33" s="143">
        <f t="shared" si="26"/>
        <v>0</v>
      </c>
      <c r="W33" s="143">
        <f t="shared" si="1"/>
        <v>0</v>
      </c>
      <c r="X33" s="194"/>
      <c r="Y33" s="248"/>
      <c r="Z33" s="166"/>
      <c r="AA33" s="166"/>
      <c r="AB33" s="166"/>
      <c r="AC33" s="166"/>
      <c r="AD33" s="194"/>
      <c r="AE33" s="234">
        <v>14</v>
      </c>
      <c r="AF33" s="143">
        <f t="shared" si="29"/>
        <v>0</v>
      </c>
      <c r="AG33" s="143">
        <f>AF$10/100*AF33+AF$11/100*AF33</f>
        <v>0</v>
      </c>
      <c r="AH33" s="178">
        <f t="shared" si="28"/>
        <v>0</v>
      </c>
      <c r="AI33" s="143">
        <f t="shared" si="27"/>
        <v>0</v>
      </c>
      <c r="AJ33" s="119"/>
      <c r="AK33" s="234">
        <v>18</v>
      </c>
      <c r="AL33" s="235">
        <f t="shared" si="2"/>
        <v>0</v>
      </c>
      <c r="AM33" s="143">
        <f t="shared" si="3"/>
        <v>0</v>
      </c>
      <c r="AN33" s="143">
        <f t="shared" si="12"/>
        <v>0</v>
      </c>
      <c r="AO33" s="119"/>
      <c r="AP33" s="234">
        <v>18</v>
      </c>
      <c r="AQ33" s="143">
        <f>IF(AQ32-AS32&lt;0,0,AQ32-AS32)</f>
        <v>0</v>
      </c>
      <c r="AR33" s="143">
        <f t="shared" si="4"/>
        <v>0</v>
      </c>
      <c r="AS33" s="143">
        <f t="shared" si="13"/>
        <v>0</v>
      </c>
      <c r="AT33" s="143">
        <f t="shared" si="14"/>
        <v>0</v>
      </c>
    </row>
    <row r="34" spans="1:46" ht="13.2">
      <c r="A34" s="234">
        <v>19</v>
      </c>
      <c r="B34" s="233">
        <f t="shared" si="5"/>
        <v>0</v>
      </c>
      <c r="C34" s="233">
        <f t="shared" si="33"/>
        <v>0</v>
      </c>
      <c r="D34" s="233">
        <f>J34+P34+V34+AS34</f>
        <v>0</v>
      </c>
      <c r="E34" s="233">
        <f t="shared" si="34"/>
        <v>0</v>
      </c>
      <c r="F34" s="194"/>
      <c r="G34" s="234">
        <v>19</v>
      </c>
      <c r="H34" s="143">
        <f t="shared" si="9"/>
        <v>0</v>
      </c>
      <c r="I34" s="143">
        <f t="shared" si="20"/>
        <v>0</v>
      </c>
      <c r="J34" s="143">
        <f t="shared" si="24"/>
        <v>0</v>
      </c>
      <c r="K34" s="143">
        <f t="shared" si="15"/>
        <v>0</v>
      </c>
      <c r="L34" s="194"/>
      <c r="M34" s="234">
        <v>19</v>
      </c>
      <c r="N34" s="143">
        <f t="shared" si="10"/>
        <v>0</v>
      </c>
      <c r="O34" s="143">
        <f t="shared" si="21"/>
        <v>0</v>
      </c>
      <c r="P34" s="143">
        <f t="shared" si="25"/>
        <v>0</v>
      </c>
      <c r="Q34" s="143">
        <f t="shared" si="0"/>
        <v>0</v>
      </c>
      <c r="R34" s="194"/>
      <c r="S34" s="234">
        <v>19</v>
      </c>
      <c r="T34" s="143">
        <f t="shared" si="11"/>
        <v>0</v>
      </c>
      <c r="U34" s="143">
        <f t="shared" si="22"/>
        <v>0</v>
      </c>
      <c r="V34" s="143">
        <f t="shared" si="26"/>
        <v>0</v>
      </c>
      <c r="W34" s="143">
        <f t="shared" si="1"/>
        <v>0</v>
      </c>
      <c r="X34" s="194"/>
      <c r="Y34" s="248"/>
      <c r="Z34" s="166"/>
      <c r="AA34" s="166"/>
      <c r="AB34" s="166"/>
      <c r="AC34" s="166"/>
      <c r="AD34" s="194"/>
      <c r="AE34" s="234">
        <v>15</v>
      </c>
      <c r="AF34" s="143">
        <f t="shared" si="29"/>
        <v>0</v>
      </c>
      <c r="AG34" s="143">
        <f>AF$10/100*AF34+AF$11/100*AF34</f>
        <v>0</v>
      </c>
      <c r="AH34" s="178">
        <f t="shared" si="28"/>
        <v>0</v>
      </c>
      <c r="AI34" s="143">
        <f t="shared" si="27"/>
        <v>0</v>
      </c>
      <c r="AJ34" s="119"/>
      <c r="AK34" s="234">
        <v>19</v>
      </c>
      <c r="AL34" s="235">
        <f t="shared" si="2"/>
        <v>0</v>
      </c>
      <c r="AM34" s="143">
        <f t="shared" si="3"/>
        <v>0</v>
      </c>
      <c r="AN34" s="143">
        <f t="shared" si="12"/>
        <v>0</v>
      </c>
      <c r="AO34" s="119"/>
      <c r="AP34" s="234">
        <v>19</v>
      </c>
      <c r="AQ34" s="143">
        <f>IF(AQ33-AS33&lt;0,0,AQ33-AS33)</f>
        <v>0</v>
      </c>
      <c r="AR34" s="143">
        <f t="shared" si="4"/>
        <v>0</v>
      </c>
      <c r="AS34" s="143">
        <f t="shared" si="13"/>
        <v>0</v>
      </c>
      <c r="AT34" s="143">
        <f t="shared" si="14"/>
        <v>0</v>
      </c>
    </row>
    <row r="35" spans="1:46" ht="13.2">
      <c r="A35" s="234">
        <v>20</v>
      </c>
      <c r="B35" s="233">
        <f t="shared" si="5"/>
        <v>0</v>
      </c>
      <c r="C35" s="233">
        <f>I35+O35+U35+AM35+AR35</f>
        <v>0</v>
      </c>
      <c r="D35" s="233">
        <f>J35+P35+V35+AS35</f>
        <v>0</v>
      </c>
      <c r="E35" s="233">
        <f t="shared" si="34"/>
        <v>0</v>
      </c>
      <c r="F35" s="194"/>
      <c r="G35" s="234">
        <v>20</v>
      </c>
      <c r="H35" s="143">
        <f t="shared" si="9"/>
        <v>0</v>
      </c>
      <c r="I35" s="143">
        <f t="shared" si="20"/>
        <v>0</v>
      </c>
      <c r="J35" s="143">
        <f t="shared" si="24"/>
        <v>0</v>
      </c>
      <c r="K35" s="143">
        <f t="shared" si="15"/>
        <v>0</v>
      </c>
      <c r="L35" s="194"/>
      <c r="M35" s="234">
        <v>20</v>
      </c>
      <c r="N35" s="143">
        <f t="shared" si="10"/>
        <v>0</v>
      </c>
      <c r="O35" s="143">
        <f t="shared" si="21"/>
        <v>0</v>
      </c>
      <c r="P35" s="143">
        <f t="shared" si="25"/>
        <v>0</v>
      </c>
      <c r="Q35" s="143">
        <f t="shared" si="0"/>
        <v>0</v>
      </c>
      <c r="R35" s="194"/>
      <c r="S35" s="234">
        <v>20</v>
      </c>
      <c r="T35" s="143">
        <f t="shared" si="11"/>
        <v>0</v>
      </c>
      <c r="U35" s="143">
        <f t="shared" si="22"/>
        <v>0</v>
      </c>
      <c r="V35" s="143">
        <f t="shared" si="26"/>
        <v>0</v>
      </c>
      <c r="W35" s="143">
        <f t="shared" si="1"/>
        <v>0</v>
      </c>
      <c r="X35" s="194"/>
      <c r="Y35" s="248"/>
      <c r="Z35" s="166"/>
      <c r="AA35" s="166"/>
      <c r="AB35" s="166"/>
      <c r="AC35" s="166"/>
      <c r="AD35" s="194"/>
      <c r="AE35" s="194"/>
      <c r="AF35" s="166"/>
      <c r="AG35" s="166"/>
      <c r="AH35" s="166"/>
      <c r="AI35" s="166"/>
      <c r="AJ35" s="119"/>
      <c r="AK35" s="234">
        <v>20</v>
      </c>
      <c r="AL35" s="235">
        <f t="shared" si="2"/>
        <v>0</v>
      </c>
      <c r="AM35" s="143">
        <f t="shared" si="3"/>
        <v>0</v>
      </c>
      <c r="AN35" s="143">
        <f t="shared" si="12"/>
        <v>0</v>
      </c>
      <c r="AO35" s="119"/>
      <c r="AP35" s="234">
        <v>20</v>
      </c>
      <c r="AQ35" s="143">
        <f>IF(AQ34-AS34&lt;0,0,AQ34-AS34)</f>
        <v>0</v>
      </c>
      <c r="AR35" s="143">
        <f t="shared" si="4"/>
        <v>0</v>
      </c>
      <c r="AS35" s="143">
        <f t="shared" si="13"/>
        <v>0</v>
      </c>
      <c r="AT35" s="143">
        <f t="shared" si="14"/>
        <v>0</v>
      </c>
    </row>
    <row r="36" spans="1:46" ht="13.2">
      <c r="A36" s="248"/>
      <c r="B36" s="166"/>
      <c r="C36" s="166"/>
      <c r="D36" s="166"/>
      <c r="E36" s="166"/>
      <c r="F36" s="194"/>
      <c r="G36" s="248"/>
      <c r="H36" s="166"/>
      <c r="I36" s="166"/>
      <c r="J36" s="166"/>
      <c r="K36" s="166"/>
      <c r="L36" s="194"/>
      <c r="M36" s="248"/>
      <c r="N36" s="166"/>
      <c r="O36" s="166"/>
      <c r="P36" s="166"/>
      <c r="Q36" s="166"/>
      <c r="R36" s="194"/>
      <c r="S36" s="248"/>
      <c r="T36" s="166"/>
      <c r="U36" s="166"/>
      <c r="V36" s="166"/>
      <c r="W36" s="166"/>
      <c r="X36" s="194"/>
      <c r="Y36" s="248"/>
      <c r="Z36" s="166"/>
      <c r="AA36" s="166"/>
      <c r="AB36" s="166"/>
      <c r="AC36" s="166"/>
      <c r="AD36" s="194"/>
      <c r="AE36" s="250" t="s">
        <v>276</v>
      </c>
      <c r="AF36" s="205"/>
      <c r="AG36" s="205">
        <f>SUM(AG20:AG34)</f>
        <v>0</v>
      </c>
      <c r="AH36" s="205">
        <f>SUM(AH20:AH34)</f>
        <v>0</v>
      </c>
      <c r="AI36" s="205">
        <f>SUM(AI20:AI34)</f>
        <v>0</v>
      </c>
      <c r="AJ36" s="119"/>
      <c r="AK36" s="119"/>
      <c r="AL36" s="166"/>
      <c r="AM36" s="166"/>
      <c r="AN36" s="166"/>
      <c r="AO36" s="119"/>
      <c r="AP36" s="119"/>
      <c r="AQ36" s="166"/>
      <c r="AR36" s="166"/>
      <c r="AS36" s="166"/>
      <c r="AT36" s="166"/>
    </row>
    <row r="37" spans="1:46" ht="13.2">
      <c r="A37" s="250" t="s">
        <v>276</v>
      </c>
      <c r="B37" s="225"/>
      <c r="C37" s="143">
        <f>SUM(C16:C36)</f>
        <v>0</v>
      </c>
      <c r="D37" s="143">
        <f>SUM(D16:D36)</f>
        <v>0</v>
      </c>
      <c r="E37" s="143">
        <f>SUM(E16:E36)</f>
        <v>0</v>
      </c>
      <c r="F37" s="194"/>
      <c r="G37" s="251" t="s">
        <v>276</v>
      </c>
      <c r="H37" s="143"/>
      <c r="I37" s="143">
        <f>SUM(I16:I36)</f>
        <v>0</v>
      </c>
      <c r="J37" s="143">
        <f>SUM(J16:J36)</f>
        <v>0</v>
      </c>
      <c r="K37" s="143">
        <f>SUM(K16:K36)</f>
        <v>0</v>
      </c>
      <c r="L37" s="194"/>
      <c r="M37" s="250" t="s">
        <v>276</v>
      </c>
      <c r="N37" s="205"/>
      <c r="O37" s="143">
        <f>SUM(O16:O36)</f>
        <v>0</v>
      </c>
      <c r="P37" s="143">
        <f>SUM(P16:P36)</f>
        <v>0</v>
      </c>
      <c r="Q37" s="143">
        <f>SUM(Q16:Q36)</f>
        <v>0</v>
      </c>
      <c r="R37" s="194"/>
      <c r="S37" s="250" t="s">
        <v>276</v>
      </c>
      <c r="T37" s="205"/>
      <c r="U37" s="143">
        <f>SUM(U16:U36)</f>
        <v>0</v>
      </c>
      <c r="V37" s="143">
        <f>SUM(V16:V36)</f>
        <v>0</v>
      </c>
      <c r="W37" s="143">
        <f>SUM(W16:W36)</f>
        <v>0</v>
      </c>
      <c r="X37" s="194"/>
      <c r="Y37" s="248"/>
      <c r="Z37" s="166"/>
      <c r="AA37" s="166"/>
      <c r="AB37" s="166"/>
      <c r="AC37" s="166"/>
      <c r="AD37" s="194"/>
      <c r="AJ37" s="119"/>
      <c r="AK37" s="252" t="s">
        <v>276</v>
      </c>
      <c r="AL37" s="205"/>
      <c r="AM37" s="143">
        <f>SUM(AM16:AM36)</f>
        <v>0</v>
      </c>
      <c r="AN37" s="143">
        <f>SUM(AN16:AN36)</f>
        <v>0</v>
      </c>
      <c r="AO37" s="119"/>
      <c r="AP37" s="252" t="s">
        <v>276</v>
      </c>
      <c r="AQ37" s="205"/>
      <c r="AR37" s="143">
        <f>SUM(AR16:AR36)</f>
        <v>0</v>
      </c>
      <c r="AS37" s="143">
        <f>SUM(AS16:AS36)</f>
        <v>0</v>
      </c>
      <c r="AT37" s="143">
        <f>SUM(AT16:AT36)</f>
        <v>0</v>
      </c>
    </row>
    <row r="38" spans="1:46" ht="13.2">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19"/>
      <c r="Z38" s="119"/>
      <c r="AA38" s="119"/>
      <c r="AB38" s="119"/>
      <c r="AC38" s="119"/>
      <c r="AD38" s="194"/>
      <c r="AE38" s="194"/>
      <c r="AF38" s="166"/>
      <c r="AG38" s="166"/>
      <c r="AH38" s="166"/>
      <c r="AI38" s="166"/>
      <c r="AJ38" s="119"/>
      <c r="AK38" s="119"/>
      <c r="AL38" s="119"/>
      <c r="AM38" s="119"/>
      <c r="AN38" s="119"/>
      <c r="AO38" s="119"/>
      <c r="AP38" s="119"/>
      <c r="AQ38" s="119"/>
      <c r="AR38" s="119"/>
      <c r="AS38" s="119"/>
      <c r="AT38" s="119"/>
    </row>
    <row r="39" spans="1:46" ht="13.2">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19"/>
      <c r="Z39" s="119"/>
      <c r="AA39" s="119"/>
      <c r="AB39" s="119"/>
      <c r="AC39" s="119"/>
      <c r="AD39" s="194"/>
      <c r="AE39" s="194"/>
      <c r="AF39" s="166"/>
      <c r="AG39" s="166"/>
      <c r="AH39" s="166"/>
      <c r="AI39" s="166"/>
      <c r="AJ39" s="119"/>
      <c r="AK39" s="119"/>
      <c r="AL39" s="119"/>
      <c r="AM39" s="119"/>
      <c r="AN39" s="119"/>
      <c r="AO39" s="119"/>
      <c r="AP39" s="119"/>
      <c r="AQ39" s="119"/>
      <c r="AR39" s="119"/>
      <c r="AS39" s="119"/>
      <c r="AT39" s="119"/>
    </row>
    <row r="40" spans="1:46" ht="13.2">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66"/>
      <c r="AG40" s="166"/>
      <c r="AH40" s="166"/>
      <c r="AI40" s="166"/>
      <c r="AJ40" s="119"/>
      <c r="AK40" s="119"/>
      <c r="AL40" s="119"/>
      <c r="AM40" s="119"/>
      <c r="AN40" s="119"/>
      <c r="AO40" s="119"/>
      <c r="AP40" s="119"/>
      <c r="AQ40" s="119"/>
      <c r="AR40" s="119"/>
      <c r="AS40" s="119"/>
      <c r="AT40" s="119"/>
    </row>
    <row r="41" spans="1:46">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19"/>
      <c r="AF41" s="119"/>
      <c r="AG41" s="119"/>
      <c r="AH41" s="119"/>
      <c r="AI41" s="119"/>
      <c r="AJ41" s="119"/>
      <c r="AK41" s="119"/>
      <c r="AL41" s="119"/>
      <c r="AM41" s="119"/>
      <c r="AN41" s="119"/>
      <c r="AO41" s="119"/>
      <c r="AP41" s="119"/>
      <c r="AQ41" s="119"/>
      <c r="AR41" s="119"/>
      <c r="AS41" s="119"/>
      <c r="AT41" s="119"/>
    </row>
    <row r="42" spans="1:46">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19"/>
      <c r="AK42" s="119"/>
      <c r="AL42" s="119"/>
      <c r="AM42" s="119"/>
      <c r="AN42" s="119"/>
      <c r="AO42" s="119"/>
      <c r="AP42" s="119"/>
      <c r="AQ42" s="119"/>
      <c r="AR42" s="119"/>
      <c r="AS42" s="119"/>
      <c r="AT42" s="119"/>
    </row>
    <row r="43" spans="1:46">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19"/>
      <c r="AK43" s="119"/>
      <c r="AL43" s="119"/>
      <c r="AM43" s="119"/>
      <c r="AN43" s="119"/>
      <c r="AO43" s="119"/>
      <c r="AP43" s="119"/>
      <c r="AQ43" s="119"/>
      <c r="AR43" s="119"/>
      <c r="AS43" s="119"/>
      <c r="AT43" s="119"/>
    </row>
    <row r="44" spans="1:46">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row>
    <row r="45" spans="1:46">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row>
    <row r="46" spans="1:46">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row>
    <row r="47" spans="1:46">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row>
    <row r="48" spans="1:46">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row>
    <row r="49" spans="1:46">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row>
    <row r="50" spans="1:46">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row>
    <row r="51" spans="1:46">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row>
    <row r="52" spans="1:46">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row>
    <row r="53" spans="1:46">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row>
    <row r="54" spans="1:46">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row>
    <row r="55" spans="1:46">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row>
    <row r="56" spans="1:46">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row>
    <row r="57" spans="1:46">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row>
    <row r="58" spans="1:46">
      <c r="A58" s="253"/>
      <c r="B58" s="253"/>
      <c r="C58" s="253"/>
      <c r="D58" s="253"/>
      <c r="E58" s="253"/>
      <c r="F58" s="253"/>
      <c r="G58" s="119"/>
      <c r="H58" s="119"/>
      <c r="I58" s="119"/>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119"/>
      <c r="AM58" s="119"/>
      <c r="AN58" s="119"/>
      <c r="AO58" s="119"/>
      <c r="AP58" s="119"/>
      <c r="AQ58" s="119"/>
      <c r="AR58" s="119"/>
      <c r="AS58" s="119"/>
      <c r="AT58" s="119"/>
    </row>
    <row r="59" spans="1:46">
      <c r="A59" s="253"/>
      <c r="B59" s="253"/>
      <c r="C59" s="253"/>
      <c r="D59" s="253"/>
      <c r="E59" s="253"/>
      <c r="F59" s="253"/>
      <c r="G59" s="119"/>
      <c r="H59" s="119"/>
      <c r="I59" s="119"/>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119"/>
      <c r="AM59" s="119"/>
      <c r="AN59" s="119"/>
      <c r="AO59" s="119"/>
      <c r="AP59" s="119"/>
      <c r="AQ59" s="119"/>
      <c r="AR59" s="119"/>
      <c r="AS59" s="119"/>
      <c r="AT59" s="119"/>
    </row>
    <row r="60" spans="1:46">
      <c r="A60" s="253"/>
      <c r="B60" s="253"/>
      <c r="C60" s="253"/>
      <c r="D60" s="253"/>
      <c r="E60" s="253"/>
      <c r="F60" s="253"/>
      <c r="G60" s="119"/>
      <c r="H60" s="119"/>
      <c r="I60" s="119"/>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119"/>
      <c r="AM60" s="119"/>
      <c r="AN60" s="119"/>
      <c r="AO60" s="119"/>
      <c r="AP60" s="119"/>
      <c r="AQ60" s="119"/>
      <c r="AR60" s="119"/>
      <c r="AS60" s="119"/>
      <c r="AT60" s="119"/>
    </row>
    <row r="61" spans="1:46">
      <c r="A61" s="253"/>
      <c r="B61" s="253"/>
      <c r="C61" s="253"/>
      <c r="D61" s="253"/>
      <c r="E61" s="253"/>
      <c r="F61" s="253"/>
      <c r="G61" s="119"/>
      <c r="H61" s="119"/>
      <c r="I61" s="119"/>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119"/>
      <c r="AM61" s="119"/>
      <c r="AN61" s="119"/>
      <c r="AO61" s="119"/>
      <c r="AP61" s="119"/>
      <c r="AQ61" s="119"/>
      <c r="AR61" s="119"/>
      <c r="AS61" s="119"/>
      <c r="AT61" s="119"/>
    </row>
    <row r="62" spans="1:46">
      <c r="A62" s="253"/>
      <c r="B62" s="253"/>
      <c r="C62" s="119"/>
      <c r="D62" s="119"/>
      <c r="E62" s="119"/>
      <c r="F62" s="119"/>
      <c r="G62" s="119"/>
      <c r="H62" s="119"/>
      <c r="I62" s="119"/>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119"/>
      <c r="AM62" s="119"/>
      <c r="AN62" s="119"/>
      <c r="AO62" s="119"/>
      <c r="AP62" s="119"/>
      <c r="AQ62" s="119"/>
      <c r="AR62" s="119"/>
      <c r="AS62" s="119"/>
      <c r="AT62" s="119"/>
    </row>
    <row r="63" spans="1:46">
      <c r="A63" s="253"/>
      <c r="B63" s="253"/>
      <c r="C63" s="253"/>
      <c r="D63" s="119"/>
      <c r="E63" s="119"/>
      <c r="F63" s="253"/>
      <c r="G63" s="119"/>
      <c r="H63" s="119"/>
      <c r="I63" s="119"/>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119"/>
      <c r="AM63" s="119"/>
      <c r="AN63" s="119"/>
      <c r="AO63" s="119"/>
      <c r="AP63" s="119"/>
      <c r="AQ63" s="119"/>
      <c r="AR63" s="119"/>
      <c r="AS63" s="119"/>
      <c r="AT63" s="119"/>
    </row>
    <row r="64" spans="1:46">
      <c r="A64" s="253"/>
      <c r="B64" s="253"/>
      <c r="C64" s="253"/>
      <c r="D64" s="119"/>
      <c r="E64" s="119"/>
      <c r="F64" s="254"/>
      <c r="G64" s="119"/>
      <c r="H64" s="119"/>
      <c r="I64" s="119"/>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119"/>
      <c r="AM64" s="119"/>
      <c r="AN64" s="119"/>
      <c r="AO64" s="119"/>
      <c r="AP64" s="119"/>
      <c r="AQ64" s="119"/>
      <c r="AR64" s="119"/>
      <c r="AS64" s="119"/>
      <c r="AT64" s="119"/>
    </row>
    <row r="65" spans="1:46">
      <c r="A65" s="253"/>
      <c r="B65" s="253"/>
      <c r="C65" s="253"/>
      <c r="D65" s="119"/>
      <c r="E65" s="119"/>
      <c r="F65" s="253"/>
      <c r="G65" s="119"/>
      <c r="H65" s="119"/>
      <c r="I65" s="119"/>
      <c r="J65" s="253"/>
      <c r="K65" s="255"/>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119"/>
      <c r="AM65" s="119"/>
      <c r="AN65" s="119"/>
      <c r="AO65" s="119"/>
      <c r="AP65" s="119"/>
      <c r="AQ65" s="119"/>
      <c r="AR65" s="119"/>
      <c r="AS65" s="119"/>
      <c r="AT65" s="119"/>
    </row>
    <row r="66" spans="1:46">
      <c r="A66" s="253"/>
      <c r="B66" s="253"/>
      <c r="C66" s="253"/>
      <c r="D66" s="119"/>
      <c r="E66" s="119"/>
      <c r="F66" s="253"/>
      <c r="G66" s="119"/>
      <c r="H66" s="119"/>
      <c r="I66" s="119"/>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119"/>
      <c r="AM66" s="119"/>
      <c r="AN66" s="119"/>
      <c r="AO66" s="119"/>
      <c r="AP66" s="119"/>
      <c r="AQ66" s="119"/>
      <c r="AR66" s="119"/>
      <c r="AS66" s="119"/>
      <c r="AT66" s="119"/>
    </row>
    <row r="67" spans="1:46">
      <c r="A67" s="253"/>
      <c r="B67" s="253"/>
      <c r="C67" s="253"/>
      <c r="D67" s="119"/>
      <c r="E67" s="119"/>
      <c r="F67" s="253"/>
      <c r="G67" s="119"/>
      <c r="H67" s="119"/>
      <c r="I67" s="119"/>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119"/>
      <c r="AM67" s="119"/>
      <c r="AN67" s="119"/>
      <c r="AO67" s="119"/>
      <c r="AP67" s="119"/>
      <c r="AQ67" s="119"/>
      <c r="AR67" s="119"/>
      <c r="AS67" s="119"/>
      <c r="AT67" s="119"/>
    </row>
    <row r="68" spans="1:46">
      <c r="A68" s="253"/>
      <c r="B68" s="253"/>
      <c r="C68" s="253"/>
      <c r="D68" s="119"/>
      <c r="E68" s="119"/>
      <c r="F68" s="253"/>
      <c r="G68" s="119"/>
      <c r="H68" s="119"/>
      <c r="I68" s="119"/>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119"/>
      <c r="AM68" s="119"/>
      <c r="AN68" s="119"/>
      <c r="AO68" s="119"/>
      <c r="AP68" s="119"/>
      <c r="AQ68" s="119"/>
      <c r="AR68" s="119"/>
      <c r="AS68" s="119"/>
      <c r="AT68" s="119"/>
    </row>
    <row r="69" spans="1:46">
      <c r="A69" s="253"/>
      <c r="B69" s="253"/>
      <c r="C69" s="253"/>
      <c r="D69" s="119"/>
      <c r="E69" s="119"/>
      <c r="F69" s="253"/>
      <c r="G69" s="253"/>
      <c r="H69" s="119"/>
      <c r="I69" s="119"/>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119"/>
      <c r="AM69" s="119"/>
      <c r="AN69" s="119"/>
      <c r="AO69" s="119"/>
      <c r="AP69" s="119"/>
      <c r="AQ69" s="119"/>
      <c r="AR69" s="119"/>
      <c r="AS69" s="119"/>
      <c r="AT69" s="119"/>
    </row>
    <row r="70" spans="1:46">
      <c r="A70" s="253"/>
      <c r="B70" s="253"/>
      <c r="C70" s="253"/>
      <c r="D70" s="119"/>
      <c r="E70" s="119"/>
      <c r="F70" s="253"/>
      <c r="G70" s="119"/>
      <c r="H70" s="119"/>
      <c r="I70" s="119"/>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119"/>
      <c r="AM70" s="119"/>
      <c r="AN70" s="119"/>
      <c r="AO70" s="119"/>
      <c r="AP70" s="119"/>
      <c r="AQ70" s="119"/>
      <c r="AR70" s="119"/>
      <c r="AS70" s="119"/>
      <c r="AT70" s="119"/>
    </row>
    <row r="71" spans="1:46">
      <c r="A71" s="253"/>
      <c r="B71" s="253"/>
      <c r="C71" s="253"/>
      <c r="D71" s="119"/>
      <c r="E71" s="119"/>
      <c r="F71" s="253"/>
      <c r="G71" s="119"/>
      <c r="H71" s="119"/>
      <c r="I71" s="119"/>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119"/>
      <c r="AM71" s="119"/>
      <c r="AN71" s="119"/>
      <c r="AO71" s="119"/>
      <c r="AP71" s="119"/>
      <c r="AQ71" s="119"/>
      <c r="AR71" s="119"/>
      <c r="AS71" s="119"/>
      <c r="AT71" s="119"/>
    </row>
    <row r="72" spans="1:46">
      <c r="A72" s="253"/>
      <c r="B72" s="253"/>
      <c r="C72" s="253"/>
      <c r="D72" s="119"/>
      <c r="E72" s="119"/>
      <c r="F72" s="253"/>
      <c r="G72" s="119"/>
      <c r="H72" s="119"/>
      <c r="I72" s="119"/>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119"/>
      <c r="AM72" s="119"/>
      <c r="AN72" s="119"/>
      <c r="AO72" s="119"/>
      <c r="AP72" s="119"/>
      <c r="AQ72" s="119"/>
      <c r="AR72" s="119"/>
      <c r="AS72" s="119"/>
      <c r="AT72" s="119"/>
    </row>
    <row r="73" spans="1:46">
      <c r="A73" s="253"/>
      <c r="B73" s="253"/>
      <c r="C73" s="253"/>
      <c r="D73" s="119"/>
      <c r="E73" s="119"/>
      <c r="F73" s="253"/>
      <c r="G73" s="119"/>
      <c r="H73" s="119"/>
      <c r="I73" s="119"/>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119"/>
      <c r="AM73" s="119"/>
      <c r="AN73" s="119"/>
      <c r="AO73" s="119"/>
      <c r="AP73" s="119"/>
      <c r="AQ73" s="119"/>
      <c r="AR73" s="119"/>
      <c r="AS73" s="119"/>
      <c r="AT73" s="119"/>
    </row>
    <row r="74" spans="1:46">
      <c r="A74" s="253"/>
      <c r="B74" s="253"/>
      <c r="C74" s="253"/>
      <c r="D74" s="119"/>
      <c r="E74" s="119"/>
      <c r="F74" s="253"/>
      <c r="G74" s="119"/>
      <c r="H74" s="119"/>
      <c r="I74" s="119"/>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119"/>
      <c r="AM74" s="119"/>
      <c r="AN74" s="119"/>
      <c r="AO74" s="119"/>
      <c r="AP74" s="119"/>
      <c r="AQ74" s="119"/>
      <c r="AR74" s="119"/>
      <c r="AS74" s="119"/>
      <c r="AT74" s="119"/>
    </row>
    <row r="75" spans="1:46">
      <c r="A75" s="253"/>
      <c r="B75" s="253"/>
      <c r="C75" s="253"/>
      <c r="D75" s="119"/>
      <c r="E75" s="119"/>
      <c r="F75" s="253"/>
      <c r="G75" s="119"/>
      <c r="H75" s="119"/>
      <c r="I75" s="119"/>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119"/>
      <c r="AM75" s="119"/>
      <c r="AN75" s="119"/>
      <c r="AO75" s="119"/>
      <c r="AP75" s="119"/>
      <c r="AQ75" s="119"/>
      <c r="AR75" s="119"/>
      <c r="AS75" s="119"/>
      <c r="AT75" s="119"/>
    </row>
    <row r="76" spans="1:46">
      <c r="A76" s="253"/>
      <c r="B76" s="253"/>
      <c r="C76" s="253"/>
      <c r="D76" s="119"/>
      <c r="E76" s="119"/>
      <c r="F76" s="253"/>
      <c r="G76" s="119"/>
      <c r="H76" s="119"/>
      <c r="I76" s="119"/>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119"/>
      <c r="AM76" s="119"/>
      <c r="AN76" s="119"/>
      <c r="AO76" s="119"/>
      <c r="AP76" s="119"/>
      <c r="AQ76" s="119"/>
      <c r="AR76" s="119"/>
      <c r="AS76" s="119"/>
      <c r="AT76" s="119"/>
    </row>
    <row r="77" spans="1:46">
      <c r="A77" s="253"/>
      <c r="B77" s="253"/>
      <c r="C77" s="253"/>
      <c r="D77" s="119"/>
      <c r="E77" s="119"/>
      <c r="F77" s="253"/>
      <c r="G77" s="119"/>
      <c r="H77" s="119"/>
      <c r="I77" s="119"/>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119"/>
      <c r="AM77" s="119"/>
      <c r="AN77" s="119"/>
      <c r="AO77" s="119"/>
      <c r="AP77" s="119"/>
      <c r="AQ77" s="119"/>
      <c r="AR77" s="119"/>
      <c r="AS77" s="119"/>
      <c r="AT77" s="119"/>
    </row>
    <row r="78" spans="1:46">
      <c r="A78" s="253"/>
      <c r="B78" s="253"/>
      <c r="C78" s="253"/>
      <c r="D78" s="119"/>
      <c r="E78" s="119"/>
      <c r="F78" s="253"/>
      <c r="G78" s="119"/>
      <c r="H78" s="119"/>
      <c r="I78" s="119"/>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119"/>
      <c r="AM78" s="119"/>
      <c r="AN78" s="119"/>
      <c r="AO78" s="119"/>
      <c r="AP78" s="119"/>
      <c r="AQ78" s="119"/>
      <c r="AR78" s="119"/>
      <c r="AS78" s="119"/>
      <c r="AT78" s="119"/>
    </row>
    <row r="79" spans="1:46">
      <c r="A79" s="253"/>
      <c r="B79" s="253"/>
      <c r="C79" s="253"/>
      <c r="D79" s="119"/>
      <c r="E79" s="119"/>
      <c r="F79" s="253"/>
      <c r="G79" s="119"/>
      <c r="H79" s="119"/>
      <c r="I79" s="119"/>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119"/>
      <c r="AM79" s="119"/>
      <c r="AN79" s="119"/>
      <c r="AO79" s="119"/>
      <c r="AP79" s="119"/>
      <c r="AQ79" s="119"/>
      <c r="AR79" s="119"/>
      <c r="AS79" s="119"/>
      <c r="AT79" s="119"/>
    </row>
    <row r="80" spans="1:46">
      <c r="A80" s="253"/>
      <c r="B80" s="253"/>
      <c r="C80" s="253"/>
      <c r="D80" s="119"/>
      <c r="E80" s="119"/>
      <c r="F80" s="253"/>
      <c r="G80" s="119"/>
      <c r="H80" s="119"/>
      <c r="I80" s="119"/>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119"/>
      <c r="AM80" s="119"/>
      <c r="AN80" s="119"/>
      <c r="AO80" s="119"/>
      <c r="AP80" s="119"/>
      <c r="AQ80" s="119"/>
      <c r="AR80" s="119"/>
      <c r="AS80" s="119"/>
      <c r="AT80" s="119"/>
    </row>
    <row r="81" spans="1:46">
      <c r="A81" s="253"/>
      <c r="B81" s="253"/>
      <c r="C81" s="253"/>
      <c r="D81" s="119"/>
      <c r="E81" s="119"/>
      <c r="F81" s="253"/>
      <c r="G81" s="119"/>
      <c r="H81" s="119"/>
      <c r="I81" s="119"/>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119"/>
      <c r="AM81" s="119"/>
      <c r="AN81" s="119"/>
      <c r="AO81" s="119"/>
      <c r="AP81" s="119"/>
      <c r="AQ81" s="119"/>
      <c r="AR81" s="119"/>
      <c r="AS81" s="119"/>
      <c r="AT81" s="119"/>
    </row>
    <row r="82" spans="1:46">
      <c r="A82" s="253"/>
      <c r="B82" s="253"/>
      <c r="C82" s="253"/>
      <c r="D82" s="119"/>
      <c r="E82" s="119"/>
      <c r="F82" s="253"/>
      <c r="G82" s="119"/>
      <c r="H82" s="119"/>
      <c r="I82" s="119"/>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119"/>
      <c r="AM82" s="119"/>
      <c r="AN82" s="119"/>
      <c r="AO82" s="119"/>
      <c r="AP82" s="119"/>
      <c r="AQ82" s="119"/>
      <c r="AR82" s="119"/>
      <c r="AS82" s="119"/>
      <c r="AT82" s="119"/>
    </row>
    <row r="83" spans="1:46">
      <c r="A83" s="253"/>
      <c r="B83" s="253"/>
      <c r="C83" s="253"/>
      <c r="D83" s="119"/>
      <c r="E83" s="119"/>
      <c r="F83" s="253"/>
      <c r="G83" s="119"/>
      <c r="H83" s="119"/>
      <c r="I83" s="119"/>
      <c r="J83" s="253"/>
      <c r="K83" s="253"/>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119"/>
      <c r="AM83" s="119"/>
      <c r="AN83" s="119"/>
      <c r="AO83" s="119"/>
      <c r="AP83" s="119"/>
      <c r="AQ83" s="119"/>
      <c r="AR83" s="119"/>
      <c r="AS83" s="119"/>
      <c r="AT83" s="119"/>
    </row>
    <row r="84" spans="1:46">
      <c r="A84" s="253"/>
      <c r="B84" s="253"/>
      <c r="C84" s="253"/>
      <c r="D84" s="119"/>
      <c r="E84" s="119"/>
      <c r="F84" s="253"/>
      <c r="G84" s="119"/>
      <c r="H84" s="119"/>
      <c r="I84" s="119"/>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119"/>
      <c r="AM84" s="119"/>
      <c r="AN84" s="119"/>
      <c r="AO84" s="119"/>
      <c r="AP84" s="119"/>
      <c r="AQ84" s="119"/>
      <c r="AR84" s="119"/>
      <c r="AS84" s="119"/>
      <c r="AT84" s="119"/>
    </row>
    <row r="85" spans="1:46">
      <c r="A85" s="253"/>
      <c r="B85" s="253"/>
      <c r="C85" s="253"/>
      <c r="D85" s="119"/>
      <c r="E85" s="119"/>
      <c r="F85" s="253"/>
      <c r="G85" s="119"/>
      <c r="H85" s="119"/>
      <c r="I85" s="119"/>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119"/>
      <c r="AM85" s="119"/>
      <c r="AN85" s="119"/>
      <c r="AO85" s="119"/>
      <c r="AP85" s="119"/>
      <c r="AQ85" s="119"/>
      <c r="AR85" s="119"/>
      <c r="AS85" s="119"/>
      <c r="AT85" s="119"/>
    </row>
    <row r="86" spans="1:46">
      <c r="A86" s="253"/>
      <c r="B86" s="253"/>
      <c r="C86" s="253"/>
      <c r="D86" s="119"/>
      <c r="E86" s="119"/>
      <c r="F86" s="253"/>
      <c r="G86" s="119"/>
      <c r="H86" s="119"/>
      <c r="I86" s="119"/>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119"/>
      <c r="AM86" s="119"/>
      <c r="AN86" s="119"/>
      <c r="AO86" s="119"/>
      <c r="AP86" s="119"/>
      <c r="AQ86" s="119"/>
      <c r="AR86" s="119"/>
      <c r="AS86" s="119"/>
      <c r="AT86" s="119"/>
    </row>
    <row r="87" spans="1:46">
      <c r="A87" s="253"/>
      <c r="B87" s="253"/>
      <c r="C87" s="253"/>
      <c r="D87" s="119"/>
      <c r="E87" s="119"/>
      <c r="F87" s="253"/>
      <c r="G87" s="119"/>
      <c r="H87" s="119"/>
      <c r="I87" s="119"/>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119"/>
      <c r="AM87" s="119"/>
      <c r="AN87" s="119"/>
      <c r="AO87" s="119"/>
      <c r="AP87" s="119"/>
      <c r="AQ87" s="119"/>
      <c r="AR87" s="119"/>
      <c r="AS87" s="119"/>
      <c r="AT87" s="119"/>
    </row>
    <row r="88" spans="1:46">
      <c r="A88" s="253"/>
      <c r="B88" s="253"/>
      <c r="C88" s="253"/>
      <c r="D88" s="119"/>
      <c r="E88" s="119"/>
      <c r="F88" s="253"/>
      <c r="G88" s="119"/>
      <c r="H88" s="119"/>
      <c r="I88" s="119"/>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119"/>
      <c r="AM88" s="119"/>
      <c r="AN88" s="119"/>
      <c r="AO88" s="119"/>
      <c r="AP88" s="119"/>
      <c r="AQ88" s="119"/>
      <c r="AR88" s="119"/>
      <c r="AS88" s="119"/>
      <c r="AT88" s="119"/>
    </row>
    <row r="89" spans="1:46">
      <c r="A89" s="253"/>
      <c r="B89" s="253"/>
      <c r="C89" s="253"/>
      <c r="D89" s="119"/>
      <c r="E89" s="119"/>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119"/>
      <c r="AM89" s="119"/>
      <c r="AN89" s="119"/>
      <c r="AO89" s="119"/>
      <c r="AP89" s="119"/>
      <c r="AQ89" s="119"/>
      <c r="AR89" s="119"/>
      <c r="AS89" s="119"/>
      <c r="AT89" s="119"/>
    </row>
    <row r="90" spans="1:46">
      <c r="A90" s="253"/>
      <c r="B90" s="253"/>
      <c r="C90" s="253"/>
      <c r="D90" s="119"/>
      <c r="E90" s="119"/>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119"/>
      <c r="AM90" s="119"/>
      <c r="AN90" s="119"/>
      <c r="AO90" s="119"/>
      <c r="AP90" s="119"/>
      <c r="AQ90" s="119"/>
      <c r="AR90" s="119"/>
      <c r="AS90" s="119"/>
      <c r="AT90" s="119"/>
    </row>
    <row r="91" spans="1:46">
      <c r="A91" s="253"/>
      <c r="B91" s="253"/>
      <c r="C91" s="253"/>
      <c r="D91" s="119"/>
      <c r="E91" s="119"/>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119"/>
      <c r="AM91" s="119"/>
      <c r="AN91" s="119"/>
      <c r="AO91" s="119"/>
      <c r="AP91" s="119"/>
      <c r="AQ91" s="119"/>
      <c r="AR91" s="119"/>
      <c r="AS91" s="119"/>
      <c r="AT91" s="119"/>
    </row>
    <row r="92" spans="1:46">
      <c r="A92" s="253"/>
      <c r="B92" s="253"/>
      <c r="C92" s="253"/>
      <c r="D92" s="119"/>
      <c r="E92" s="119"/>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119"/>
      <c r="AM92" s="119"/>
      <c r="AN92" s="119"/>
      <c r="AO92" s="119"/>
      <c r="AP92" s="119"/>
      <c r="AQ92" s="119"/>
      <c r="AR92" s="119"/>
      <c r="AS92" s="119"/>
      <c r="AT92" s="119"/>
    </row>
    <row r="93" spans="1:46">
      <c r="A93" s="253"/>
      <c r="B93" s="253"/>
      <c r="C93" s="253"/>
      <c r="D93" s="119"/>
      <c r="E93" s="119"/>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119"/>
      <c r="AM93" s="119"/>
      <c r="AN93" s="119"/>
      <c r="AO93" s="119"/>
      <c r="AP93" s="119"/>
      <c r="AQ93" s="119"/>
      <c r="AR93" s="119"/>
      <c r="AS93" s="119"/>
      <c r="AT93" s="119"/>
    </row>
    <row r="94" spans="1:46">
      <c r="A94" s="253"/>
      <c r="B94" s="253"/>
      <c r="C94" s="253"/>
      <c r="D94" s="119"/>
      <c r="E94" s="119"/>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119"/>
      <c r="AM94" s="119"/>
      <c r="AN94" s="119"/>
      <c r="AO94" s="119"/>
      <c r="AP94" s="119"/>
      <c r="AQ94" s="119"/>
      <c r="AR94" s="119"/>
      <c r="AS94" s="119"/>
      <c r="AT94" s="119"/>
    </row>
    <row r="95" spans="1:46">
      <c r="A95" s="253"/>
      <c r="B95" s="253"/>
      <c r="C95" s="253"/>
      <c r="D95" s="119"/>
      <c r="E95" s="119"/>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119"/>
      <c r="AM95" s="119"/>
      <c r="AN95" s="119"/>
      <c r="AO95" s="119"/>
      <c r="AP95" s="119"/>
      <c r="AQ95" s="119"/>
      <c r="AR95" s="119"/>
      <c r="AS95" s="119"/>
      <c r="AT95" s="119"/>
    </row>
    <row r="96" spans="1:46">
      <c r="A96" s="253"/>
      <c r="B96" s="253"/>
      <c r="C96" s="253"/>
      <c r="D96" s="119"/>
      <c r="E96" s="119"/>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119"/>
      <c r="AM96" s="119"/>
      <c r="AN96" s="119"/>
      <c r="AO96" s="119"/>
      <c r="AP96" s="119"/>
      <c r="AQ96" s="119"/>
      <c r="AR96" s="119"/>
      <c r="AS96" s="119"/>
      <c r="AT96" s="119"/>
    </row>
    <row r="97" spans="1:46">
      <c r="A97" s="253"/>
      <c r="B97" s="253"/>
      <c r="C97" s="253"/>
      <c r="D97" s="119"/>
      <c r="E97" s="119"/>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119"/>
      <c r="AM97" s="119"/>
      <c r="AN97" s="119"/>
      <c r="AO97" s="119"/>
      <c r="AP97" s="119"/>
      <c r="AQ97" s="119"/>
      <c r="AR97" s="119"/>
      <c r="AS97" s="119"/>
      <c r="AT97" s="119"/>
    </row>
    <row r="98" spans="1:46">
      <c r="A98" s="253"/>
      <c r="B98" s="253"/>
      <c r="C98" s="253"/>
      <c r="D98" s="119"/>
      <c r="E98" s="119"/>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119"/>
      <c r="AM98" s="119"/>
      <c r="AN98" s="119"/>
      <c r="AO98" s="119"/>
      <c r="AP98" s="119"/>
      <c r="AQ98" s="119"/>
      <c r="AR98" s="119"/>
      <c r="AS98" s="119"/>
      <c r="AT98" s="119"/>
    </row>
    <row r="99" spans="1:46">
      <c r="A99" s="253"/>
      <c r="B99" s="253"/>
      <c r="C99" s="253"/>
      <c r="D99" s="119"/>
      <c r="E99" s="119"/>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119"/>
      <c r="AM99" s="119"/>
      <c r="AN99" s="119"/>
      <c r="AO99" s="119"/>
      <c r="AP99" s="119"/>
      <c r="AQ99" s="119"/>
      <c r="AR99" s="119"/>
      <c r="AS99" s="119"/>
      <c r="AT99" s="119"/>
    </row>
    <row r="100" spans="1:46">
      <c r="A100" s="253"/>
      <c r="B100" s="253"/>
      <c r="C100" s="253"/>
      <c r="D100" s="119"/>
      <c r="E100" s="119"/>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119"/>
      <c r="AM100" s="119"/>
      <c r="AN100" s="119"/>
      <c r="AO100" s="119"/>
      <c r="AP100" s="119"/>
      <c r="AQ100" s="119"/>
      <c r="AR100" s="119"/>
      <c r="AS100" s="119"/>
      <c r="AT100" s="119"/>
    </row>
    <row r="101" spans="1:46">
      <c r="A101" s="253"/>
      <c r="B101" s="253"/>
      <c r="C101" s="253"/>
      <c r="D101" s="119"/>
      <c r="E101" s="119"/>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119"/>
      <c r="AM101" s="119"/>
      <c r="AN101" s="119"/>
      <c r="AO101" s="119"/>
      <c r="AP101" s="119"/>
      <c r="AQ101" s="119"/>
      <c r="AR101" s="119"/>
      <c r="AS101" s="119"/>
      <c r="AT101" s="119"/>
    </row>
    <row r="102" spans="1:46">
      <c r="A102" s="253"/>
      <c r="B102" s="253"/>
      <c r="C102" s="253"/>
      <c r="D102" s="119"/>
      <c r="E102" s="119"/>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119"/>
      <c r="AM102" s="119"/>
      <c r="AN102" s="119"/>
      <c r="AO102" s="119"/>
      <c r="AP102" s="119"/>
      <c r="AQ102" s="119"/>
      <c r="AR102" s="119"/>
      <c r="AS102" s="119"/>
      <c r="AT102" s="119"/>
    </row>
    <row r="103" spans="1:46">
      <c r="A103" s="27"/>
      <c r="B103" s="27"/>
      <c r="C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row>
    <row r="104" spans="1:46">
      <c r="A104" s="27"/>
      <c r="B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row>
    <row r="105" spans="1:46">
      <c r="A105" s="27"/>
      <c r="B105" s="27"/>
      <c r="C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row>
    <row r="106" spans="1:46">
      <c r="A106" s="27"/>
      <c r="B106" s="27"/>
      <c r="C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row>
    <row r="107" spans="1:46">
      <c r="A107" s="27"/>
      <c r="B107" s="27"/>
      <c r="C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row>
    <row r="108" spans="1:46">
      <c r="A108" s="27"/>
      <c r="B108" s="27"/>
      <c r="C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row>
    <row r="109" spans="1:46">
      <c r="A109" s="27"/>
      <c r="B109" s="27"/>
      <c r="C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row>
    <row r="110" spans="1:46">
      <c r="A110" s="27"/>
      <c r="B110" s="27"/>
      <c r="C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row>
    <row r="111" spans="1:46">
      <c r="A111" s="27"/>
      <c r="B111" s="27"/>
      <c r="C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row>
    <row r="112" spans="1:46">
      <c r="A112" s="27"/>
      <c r="B112" s="27"/>
      <c r="C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row>
    <row r="113" spans="1:37">
      <c r="A113" s="27"/>
      <c r="B113" s="27"/>
      <c r="C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row>
    <row r="114" spans="1:37">
      <c r="A114" s="27"/>
      <c r="B114" s="27"/>
      <c r="C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row>
    <row r="115" spans="1:37">
      <c r="A115" s="27"/>
      <c r="B115" s="27"/>
      <c r="C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row>
    <row r="116" spans="1:37">
      <c r="A116" s="27"/>
      <c r="B116" s="27"/>
      <c r="C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row>
    <row r="117" spans="1:37">
      <c r="A117" s="27"/>
      <c r="B117" s="27"/>
      <c r="C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row>
    <row r="118" spans="1:37">
      <c r="A118" s="27"/>
      <c r="B118" s="27"/>
      <c r="C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row>
    <row r="119" spans="1:37">
      <c r="A119" s="27"/>
      <c r="B119" s="27"/>
      <c r="C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row>
    <row r="120" spans="1:37">
      <c r="A120" s="27"/>
      <c r="B120" s="27"/>
      <c r="C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row>
    <row r="121" spans="1:37">
      <c r="A121" s="27"/>
      <c r="B121" s="27"/>
      <c r="C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row>
    <row r="122" spans="1:37">
      <c r="A122" s="27"/>
      <c r="B122" s="27"/>
      <c r="C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row>
    <row r="123" spans="1:37">
      <c r="A123" s="27"/>
      <c r="B123" s="27"/>
      <c r="C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row>
    <row r="124" spans="1:37">
      <c r="A124" s="27"/>
      <c r="B124" s="27"/>
      <c r="C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row>
    <row r="125" spans="1:37">
      <c r="A125" s="27"/>
      <c r="B125" s="27"/>
      <c r="C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row>
    <row r="126" spans="1:37">
      <c r="A126" s="27"/>
      <c r="B126" s="27"/>
      <c r="C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row>
    <row r="127" spans="1:37">
      <c r="A127" s="27"/>
      <c r="B127" s="27"/>
      <c r="C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row>
    <row r="128" spans="1:37">
      <c r="A128" s="27"/>
      <c r="B128" s="27"/>
      <c r="C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row>
    <row r="129" spans="1:37">
      <c r="A129" s="27"/>
      <c r="B129" s="27"/>
      <c r="C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row>
    <row r="130" spans="1:37">
      <c r="A130" s="27"/>
      <c r="B130" s="27"/>
      <c r="C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row>
    <row r="131" spans="1:37">
      <c r="A131" s="27"/>
      <c r="B131" s="27"/>
      <c r="C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row>
    <row r="132" spans="1:37">
      <c r="A132" s="27"/>
      <c r="B132" s="27"/>
      <c r="C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row>
    <row r="133" spans="1:37">
      <c r="A133" s="27"/>
      <c r="B133" s="27"/>
      <c r="C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row>
    <row r="134" spans="1:37">
      <c r="A134" s="27"/>
      <c r="B134" s="27"/>
      <c r="C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row>
    <row r="135" spans="1:37">
      <c r="A135" s="27"/>
      <c r="B135" s="27"/>
      <c r="C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row>
    <row r="136" spans="1:37">
      <c r="A136" s="27"/>
      <c r="B136" s="27"/>
      <c r="C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row>
    <row r="137" spans="1:37">
      <c r="A137" s="27"/>
      <c r="B137" s="27"/>
      <c r="C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row>
    <row r="138" spans="1:37">
      <c r="A138" s="27"/>
      <c r="B138" s="27"/>
      <c r="C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row>
    <row r="139" spans="1:37">
      <c r="A139" s="27"/>
      <c r="B139" s="27"/>
      <c r="C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row>
    <row r="140" spans="1:37">
      <c r="A140" s="27"/>
      <c r="B140" s="27"/>
      <c r="C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row>
    <row r="141" spans="1:37">
      <c r="A141" s="27"/>
      <c r="B141" s="27"/>
      <c r="C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row>
    <row r="142" spans="1:37">
      <c r="A142" s="27"/>
      <c r="B142" s="27"/>
      <c r="C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row>
    <row r="143" spans="1:37">
      <c r="A143" s="27"/>
      <c r="B143" s="27"/>
      <c r="C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row>
    <row r="144" spans="1:37">
      <c r="A144" s="27"/>
      <c r="B144" s="27"/>
      <c r="C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c r="A145" s="27"/>
      <c r="B145" s="27"/>
      <c r="C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c r="A146" s="27"/>
      <c r="B146" s="27"/>
      <c r="C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row>
    <row r="147" spans="1:37">
      <c r="A147" s="27"/>
      <c r="B147" s="27"/>
      <c r="C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row>
    <row r="148" spans="1:37">
      <c r="A148" s="27"/>
      <c r="B148" s="27"/>
      <c r="C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row>
    <row r="149" spans="1:37">
      <c r="A149" s="27"/>
      <c r="B149" s="27"/>
      <c r="C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row>
    <row r="150" spans="1:37">
      <c r="A150" s="27"/>
      <c r="B150" s="27"/>
      <c r="C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row>
    <row r="151" spans="1:37">
      <c r="A151" s="27"/>
      <c r="B151" s="27"/>
      <c r="C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row>
    <row r="152" spans="1:37">
      <c r="A152" s="27"/>
      <c r="B152" s="27"/>
      <c r="C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row>
    <row r="153" spans="1:37">
      <c r="A153" s="27"/>
      <c r="B153" s="27"/>
      <c r="C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row>
    <row r="154" spans="1:37">
      <c r="A154" s="27"/>
      <c r="B154" s="27"/>
      <c r="C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row>
    <row r="155" spans="1:37">
      <c r="A155" s="27"/>
      <c r="B155" s="27"/>
      <c r="C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row>
    <row r="156" spans="1:37">
      <c r="A156" s="27"/>
      <c r="B156" s="27"/>
      <c r="C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row>
    <row r="157" spans="1:37">
      <c r="A157" s="27"/>
      <c r="B157" s="27"/>
      <c r="C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row>
    <row r="158" spans="1:37">
      <c r="A158" s="27"/>
      <c r="B158" s="27"/>
      <c r="C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row>
    <row r="159" spans="1:37">
      <c r="A159" s="27"/>
      <c r="B159" s="27"/>
      <c r="C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row>
    <row r="160" spans="1:37">
      <c r="A160" s="27"/>
      <c r="B160" s="27"/>
      <c r="C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row>
    <row r="161" spans="1:37">
      <c r="A161" s="27"/>
      <c r="B161" s="27"/>
      <c r="C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row>
    <row r="162" spans="1:37">
      <c r="A162" s="27"/>
      <c r="B162" s="27"/>
      <c r="C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row>
    <row r="163" spans="1:37">
      <c r="A163" s="27"/>
      <c r="B163" s="27"/>
      <c r="C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row>
    <row r="164" spans="1:37">
      <c r="A164" s="27"/>
      <c r="B164" s="27"/>
      <c r="C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row>
    <row r="165" spans="1:37">
      <c r="A165" s="27"/>
      <c r="B165" s="27"/>
      <c r="C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row>
    <row r="166" spans="1:37">
      <c r="A166" s="27"/>
      <c r="B166" s="27"/>
      <c r="C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row>
    <row r="167" spans="1:37">
      <c r="A167" s="27"/>
      <c r="B167" s="27"/>
      <c r="C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row>
    <row r="168" spans="1:37">
      <c r="A168" s="27"/>
      <c r="B168" s="27"/>
      <c r="C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row>
    <row r="169" spans="1:37">
      <c r="A169" s="27"/>
      <c r="B169" s="27"/>
      <c r="C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row>
    <row r="170" spans="1:37">
      <c r="A170" s="27"/>
      <c r="B170" s="27"/>
      <c r="C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row>
    <row r="171" spans="1:37">
      <c r="A171" s="27"/>
      <c r="B171" s="27"/>
      <c r="C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row>
    <row r="172" spans="1:37">
      <c r="A172" s="27"/>
      <c r="B172" s="27"/>
      <c r="C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row>
    <row r="173" spans="1:37">
      <c r="A173" s="27"/>
      <c r="B173" s="27"/>
      <c r="C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row>
    <row r="174" spans="1:37">
      <c r="A174" s="27"/>
      <c r="B174" s="27"/>
      <c r="C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row>
    <row r="175" spans="1:37">
      <c r="A175" s="27"/>
      <c r="B175" s="27"/>
      <c r="C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row>
    <row r="176" spans="1:37">
      <c r="A176" s="27"/>
      <c r="B176" s="27"/>
      <c r="C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row>
    <row r="177" spans="1:37">
      <c r="A177" s="27"/>
      <c r="B177" s="27"/>
      <c r="C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row>
    <row r="178" spans="1:37">
      <c r="A178" s="27"/>
      <c r="B178" s="27"/>
      <c r="C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row>
    <row r="179" spans="1:37">
      <c r="A179" s="27"/>
      <c r="B179" s="27"/>
      <c r="C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row>
    <row r="180" spans="1:37">
      <c r="A180" s="27"/>
      <c r="B180" s="27"/>
      <c r="C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row>
    <row r="181" spans="1:37">
      <c r="A181" s="27"/>
      <c r="B181" s="27"/>
      <c r="C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row>
    <row r="182" spans="1:37">
      <c r="A182" s="27"/>
      <c r="B182" s="27"/>
      <c r="C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row>
    <row r="183" spans="1:37">
      <c r="A183" s="27"/>
      <c r="B183" s="27"/>
      <c r="C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row>
    <row r="184" spans="1:37">
      <c r="A184" s="27"/>
      <c r="B184" s="27"/>
      <c r="C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row>
    <row r="185" spans="1:37">
      <c r="A185" s="27"/>
      <c r="B185" s="27"/>
      <c r="C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row>
    <row r="186" spans="1:37">
      <c r="A186" s="27"/>
      <c r="B186" s="27"/>
      <c r="C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row>
    <row r="187" spans="1:37">
      <c r="A187" s="27"/>
      <c r="B187" s="27"/>
      <c r="C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row>
    <row r="188" spans="1:37">
      <c r="A188" s="27"/>
      <c r="B188" s="27"/>
      <c r="C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row>
    <row r="189" spans="1:37">
      <c r="A189" s="27"/>
      <c r="B189" s="27"/>
      <c r="C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row>
    <row r="190" spans="1:37">
      <c r="A190" s="27"/>
      <c r="B190" s="27"/>
      <c r="C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row>
    <row r="191" spans="1:37">
      <c r="A191" s="27"/>
      <c r="B191" s="27"/>
      <c r="C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row>
    <row r="192" spans="1:37">
      <c r="A192" s="27"/>
      <c r="B192" s="27"/>
      <c r="C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row>
    <row r="193" spans="1:37">
      <c r="A193" s="27"/>
      <c r="B193" s="27"/>
      <c r="C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row>
    <row r="194" spans="1:37">
      <c r="A194" s="27"/>
      <c r="B194" s="27"/>
      <c r="C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row>
    <row r="195" spans="1:37">
      <c r="A195" s="27"/>
      <c r="B195" s="27"/>
      <c r="C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row>
    <row r="196" spans="1:37">
      <c r="A196" s="27"/>
      <c r="B196" s="27"/>
      <c r="C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row>
    <row r="197" spans="1:37">
      <c r="A197" s="27"/>
      <c r="B197" s="27"/>
      <c r="C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row>
    <row r="198" spans="1:37">
      <c r="A198" s="27"/>
      <c r="B198" s="27"/>
      <c r="C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row>
    <row r="199" spans="1:37">
      <c r="A199" s="27"/>
      <c r="B199" s="27"/>
      <c r="C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row>
    <row r="200" spans="1:37">
      <c r="A200" s="27"/>
      <c r="B200" s="27"/>
      <c r="C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row>
    <row r="201" spans="1:37">
      <c r="A201" s="27"/>
      <c r="B201" s="27"/>
      <c r="C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row>
    <row r="202" spans="1:37">
      <c r="A202" s="27"/>
      <c r="B202" s="27"/>
      <c r="C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row>
    <row r="203" spans="1:37">
      <c r="A203" s="27"/>
      <c r="B203" s="27"/>
      <c r="C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row>
    <row r="204" spans="1:37">
      <c r="A204" s="27"/>
      <c r="B204" s="27"/>
      <c r="C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row>
    <row r="205" spans="1:37">
      <c r="A205" s="27"/>
      <c r="B205" s="27"/>
      <c r="C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row>
    <row r="206" spans="1:37">
      <c r="A206" s="27"/>
      <c r="B206" s="27"/>
      <c r="C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row>
    <row r="207" spans="1:37">
      <c r="A207" s="27"/>
      <c r="B207" s="27"/>
      <c r="C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row>
    <row r="208" spans="1:37">
      <c r="A208" s="27"/>
      <c r="B208" s="27"/>
      <c r="C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row>
    <row r="209" spans="1:37">
      <c r="A209" s="27"/>
      <c r="B209" s="27"/>
      <c r="C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row>
    <row r="210" spans="1:37">
      <c r="A210" s="27"/>
      <c r="B210" s="27"/>
      <c r="C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row>
    <row r="211" spans="1:37">
      <c r="A211" s="27"/>
      <c r="B211" s="27"/>
      <c r="C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row>
    <row r="212" spans="1:37">
      <c r="A212" s="27"/>
      <c r="B212" s="27"/>
      <c r="C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row>
    <row r="213" spans="1:37">
      <c r="A213" s="27"/>
      <c r="B213" s="27"/>
      <c r="C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row>
    <row r="214" spans="1:37">
      <c r="A214" s="27"/>
      <c r="B214" s="27"/>
      <c r="C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row>
    <row r="215" spans="1:37">
      <c r="A215" s="27"/>
      <c r="B215" s="27"/>
      <c r="C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row>
    <row r="216" spans="1:37">
      <c r="A216" s="27"/>
      <c r="B216" s="27"/>
      <c r="C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row>
    <row r="217" spans="1:37">
      <c r="A217" s="27"/>
      <c r="B217" s="27"/>
      <c r="C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row>
    <row r="218" spans="1:37">
      <c r="A218" s="27"/>
      <c r="B218" s="27"/>
      <c r="C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row>
    <row r="219" spans="1:37">
      <c r="A219" s="27"/>
      <c r="B219" s="27"/>
      <c r="C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row>
    <row r="220" spans="1:37">
      <c r="A220" s="27"/>
      <c r="B220" s="27"/>
      <c r="C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row>
    <row r="221" spans="1:37">
      <c r="A221" s="27"/>
      <c r="B221" s="27"/>
      <c r="C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row>
    <row r="222" spans="1:37">
      <c r="A222" s="27"/>
      <c r="B222" s="27"/>
      <c r="C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row>
    <row r="223" spans="1:37">
      <c r="A223" s="27"/>
      <c r="B223" s="27"/>
      <c r="C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row>
    <row r="224" spans="1:37">
      <c r="A224" s="27"/>
      <c r="B224" s="27"/>
      <c r="C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row>
    <row r="225" spans="1:37">
      <c r="A225" s="27"/>
      <c r="B225" s="27"/>
      <c r="C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row>
    <row r="226" spans="1:37">
      <c r="A226" s="27"/>
      <c r="B226" s="27"/>
      <c r="C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row>
    <row r="227" spans="1:37">
      <c r="A227" s="27"/>
      <c r="B227" s="27"/>
      <c r="C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row>
    <row r="228" spans="1:37">
      <c r="A228" s="27"/>
      <c r="B228" s="27"/>
      <c r="C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row>
    <row r="229" spans="1:37">
      <c r="A229" s="27"/>
      <c r="B229" s="27"/>
      <c r="C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row>
    <row r="230" spans="1:37">
      <c r="A230" s="27"/>
      <c r="B230" s="27"/>
      <c r="C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row>
    <row r="231" spans="1:37">
      <c r="A231" s="27"/>
      <c r="B231" s="27"/>
      <c r="C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row>
    <row r="232" spans="1:37">
      <c r="A232" s="27"/>
      <c r="B232" s="27"/>
      <c r="C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row>
    <row r="233" spans="1:37">
      <c r="A233" s="27"/>
      <c r="B233" s="27"/>
      <c r="C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row>
    <row r="234" spans="1:37">
      <c r="A234" s="27"/>
      <c r="B234" s="27"/>
      <c r="C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row>
    <row r="235" spans="1:37">
      <c r="A235" s="27"/>
      <c r="B235" s="27"/>
      <c r="C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row>
    <row r="236" spans="1:37">
      <c r="A236" s="27"/>
      <c r="B236" s="27"/>
      <c r="C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row>
    <row r="237" spans="1:37">
      <c r="A237" s="27"/>
      <c r="B237" s="27"/>
      <c r="C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row>
    <row r="238" spans="1:37">
      <c r="A238" s="27"/>
      <c r="B238" s="27"/>
      <c r="C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row>
    <row r="239" spans="1:37">
      <c r="A239" s="27"/>
      <c r="B239" s="27"/>
      <c r="C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row>
    <row r="240" spans="1:37">
      <c r="A240" s="27"/>
      <c r="B240" s="27"/>
      <c r="C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row>
    <row r="241" spans="1:37">
      <c r="A241" s="27"/>
      <c r="B241" s="27"/>
      <c r="C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row>
    <row r="242" spans="1:37">
      <c r="A242" s="27"/>
      <c r="B242" s="27"/>
      <c r="C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row>
    <row r="243" spans="1:37">
      <c r="A243" s="27"/>
      <c r="B243" s="27"/>
      <c r="C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row>
    <row r="244" spans="1:37">
      <c r="A244" s="27"/>
      <c r="B244" s="27"/>
      <c r="C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row>
    <row r="245" spans="1:37">
      <c r="A245" s="27"/>
      <c r="B245" s="27"/>
      <c r="C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row>
    <row r="246" spans="1:37">
      <c r="A246" s="27"/>
      <c r="B246" s="27"/>
      <c r="C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row>
    <row r="247" spans="1:37">
      <c r="A247" s="27"/>
      <c r="B247" s="27"/>
      <c r="C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row>
    <row r="248" spans="1:37">
      <c r="A248" s="27"/>
      <c r="B248" s="27"/>
      <c r="C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row>
    <row r="249" spans="1:37">
      <c r="A249" s="27"/>
      <c r="B249" s="27"/>
      <c r="C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row>
    <row r="250" spans="1:37">
      <c r="A250" s="27"/>
      <c r="B250" s="27"/>
      <c r="C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row>
    <row r="251" spans="1:37">
      <c r="A251" s="27"/>
      <c r="B251" s="27"/>
      <c r="C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row>
    <row r="252" spans="1:37">
      <c r="A252" s="27"/>
      <c r="B252" s="27"/>
      <c r="C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row>
    <row r="253" spans="1:37">
      <c r="A253" s="27"/>
      <c r="B253" s="27"/>
      <c r="C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row>
    <row r="254" spans="1:37">
      <c r="A254" s="27"/>
      <c r="B254" s="27"/>
      <c r="C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row>
    <row r="255" spans="1:37">
      <c r="A255" s="27"/>
      <c r="B255" s="27"/>
      <c r="C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row>
    <row r="256" spans="1:37">
      <c r="A256" s="27"/>
      <c r="B256" s="27"/>
      <c r="C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row>
    <row r="257" spans="1:37">
      <c r="A257" s="27"/>
      <c r="B257" s="27"/>
      <c r="C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row>
    <row r="258" spans="1:37">
      <c r="A258" s="27"/>
      <c r="B258" s="27"/>
      <c r="C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row>
    <row r="259" spans="1:37">
      <c r="A259" s="27"/>
      <c r="B259" s="27"/>
      <c r="C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row>
    <row r="260" spans="1:37">
      <c r="A260" s="27"/>
      <c r="B260" s="27"/>
      <c r="C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row>
    <row r="261" spans="1:37">
      <c r="A261" s="27"/>
      <c r="B261" s="27"/>
      <c r="C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row>
    <row r="262" spans="1:37">
      <c r="A262" s="27"/>
      <c r="B262" s="27"/>
      <c r="C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row>
    <row r="263" spans="1:37">
      <c r="A263" s="27"/>
      <c r="B263" s="27"/>
      <c r="C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row>
    <row r="264" spans="1:37">
      <c r="A264" s="27"/>
      <c r="B264" s="27"/>
      <c r="C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row>
    <row r="265" spans="1:37">
      <c r="A265" s="27"/>
      <c r="B265" s="27"/>
      <c r="C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row>
    <row r="266" spans="1:37">
      <c r="A266" s="27"/>
      <c r="B266" s="27"/>
      <c r="C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row>
    <row r="267" spans="1:37">
      <c r="A267" s="27"/>
      <c r="B267" s="27"/>
      <c r="C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row>
    <row r="268" spans="1:37">
      <c r="A268" s="27"/>
      <c r="B268" s="27"/>
      <c r="C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row>
    <row r="269" spans="1:37">
      <c r="A269" s="27"/>
      <c r="B269" s="27"/>
      <c r="C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row>
    <row r="270" spans="1:37">
      <c r="A270" s="27"/>
      <c r="B270" s="27"/>
      <c r="C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row>
    <row r="271" spans="1:37">
      <c r="A271" s="27"/>
      <c r="B271" s="27"/>
      <c r="C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row>
    <row r="272" spans="1:37">
      <c r="A272" s="27"/>
      <c r="B272" s="27"/>
      <c r="C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row>
    <row r="273" spans="1:37">
      <c r="A273" s="27"/>
      <c r="B273" s="27"/>
      <c r="C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row>
    <row r="274" spans="1:37">
      <c r="A274" s="27"/>
      <c r="B274" s="27"/>
      <c r="C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row>
    <row r="275" spans="1:37">
      <c r="A275" s="27"/>
      <c r="B275" s="27"/>
      <c r="C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row>
    <row r="276" spans="1:37">
      <c r="A276" s="27"/>
      <c r="B276" s="27"/>
      <c r="C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row>
    <row r="277" spans="1:37">
      <c r="A277" s="27"/>
      <c r="B277" s="27"/>
      <c r="C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row>
    <row r="278" spans="1:37">
      <c r="A278" s="27"/>
      <c r="B278" s="27"/>
      <c r="C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row>
    <row r="279" spans="1:37">
      <c r="A279" s="27"/>
      <c r="B279" s="27"/>
      <c r="C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row>
    <row r="280" spans="1:37">
      <c r="A280" s="27"/>
      <c r="B280" s="27"/>
      <c r="C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row>
    <row r="281" spans="1:37">
      <c r="A281" s="27"/>
      <c r="B281" s="27"/>
      <c r="C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row>
    <row r="282" spans="1:37">
      <c r="A282" s="27"/>
      <c r="B282" s="27"/>
      <c r="C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row>
    <row r="283" spans="1:37">
      <c r="A283" s="27"/>
      <c r="B283" s="27"/>
      <c r="C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row>
    <row r="284" spans="1:37">
      <c r="A284" s="27"/>
      <c r="B284" s="27"/>
      <c r="C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row>
    <row r="285" spans="1:37">
      <c r="A285" s="27"/>
      <c r="B285" s="27"/>
      <c r="C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row>
    <row r="286" spans="1:37">
      <c r="A286" s="27"/>
      <c r="B286" s="27"/>
      <c r="C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row>
    <row r="287" spans="1:37">
      <c r="A287" s="27"/>
      <c r="B287" s="27"/>
      <c r="C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row>
    <row r="288" spans="1:37">
      <c r="A288" s="27"/>
      <c r="B288" s="27"/>
      <c r="C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row>
    <row r="289" spans="1:37">
      <c r="A289" s="27"/>
      <c r="B289" s="27"/>
      <c r="C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row>
    <row r="290" spans="1:37">
      <c r="A290" s="27"/>
      <c r="B290" s="27"/>
      <c r="C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row>
    <row r="291" spans="1:37">
      <c r="A291" s="27"/>
      <c r="B291" s="27"/>
      <c r="C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row>
    <row r="292" spans="1:37">
      <c r="A292" s="27"/>
      <c r="B292" s="27"/>
      <c r="C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row>
    <row r="293" spans="1:37">
      <c r="A293" s="27"/>
      <c r="B293" s="27"/>
      <c r="C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row>
    <row r="294" spans="1:37">
      <c r="A294" s="27"/>
      <c r="B294" s="27"/>
      <c r="C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row>
    <row r="295" spans="1:37">
      <c r="A295" s="27"/>
      <c r="B295" s="27"/>
      <c r="C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row>
    <row r="296" spans="1:37">
      <c r="A296" s="27"/>
      <c r="B296" s="27"/>
      <c r="C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row>
    <row r="297" spans="1:37">
      <c r="A297" s="27"/>
      <c r="B297" s="27"/>
      <c r="C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row>
    <row r="298" spans="1:37">
      <c r="A298" s="27"/>
      <c r="B298" s="27"/>
      <c r="C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row>
    <row r="299" spans="1:37">
      <c r="A299" s="27"/>
      <c r="B299" s="27"/>
      <c r="C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row>
    <row r="300" spans="1:37">
      <c r="A300" s="27"/>
      <c r="B300" s="27"/>
      <c r="C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row>
    <row r="301" spans="1:37">
      <c r="A301" s="27"/>
      <c r="B301" s="27"/>
      <c r="C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row>
    <row r="302" spans="1:37">
      <c r="A302" s="27"/>
      <c r="B302" s="27"/>
      <c r="C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row>
    <row r="303" spans="1:37">
      <c r="A303" s="27"/>
      <c r="B303" s="27"/>
      <c r="C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row>
    <row r="304" spans="1:37">
      <c r="A304" s="27"/>
      <c r="B304" s="27"/>
      <c r="C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row>
    <row r="305" spans="1:37">
      <c r="A305" s="27"/>
      <c r="B305" s="27"/>
      <c r="C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row>
    <row r="306" spans="1:37">
      <c r="A306" s="27"/>
      <c r="B306" s="27"/>
      <c r="C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row>
    <row r="307" spans="1:37">
      <c r="A307" s="27"/>
      <c r="B307" s="27"/>
      <c r="C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row>
    <row r="308" spans="1:37">
      <c r="A308" s="27"/>
      <c r="B308" s="27"/>
      <c r="C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row>
    <row r="309" spans="1:37">
      <c r="A309" s="27"/>
      <c r="B309" s="27"/>
      <c r="C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row>
    <row r="310" spans="1:37">
      <c r="A310" s="27"/>
      <c r="B310" s="27"/>
      <c r="C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row>
    <row r="311" spans="1:37">
      <c r="A311" s="27"/>
      <c r="B311" s="27"/>
      <c r="C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row>
    <row r="312" spans="1:37">
      <c r="A312" s="27"/>
      <c r="B312" s="27"/>
      <c r="C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row>
    <row r="313" spans="1:37">
      <c r="A313" s="27"/>
      <c r="B313" s="27"/>
      <c r="C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row>
    <row r="314" spans="1:37">
      <c r="A314" s="27"/>
      <c r="B314" s="27"/>
      <c r="C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row>
    <row r="315" spans="1:37">
      <c r="A315" s="27"/>
      <c r="B315" s="27"/>
      <c r="C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row>
    <row r="316" spans="1:37">
      <c r="A316" s="27"/>
      <c r="B316" s="27"/>
      <c r="C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row>
    <row r="317" spans="1:37">
      <c r="A317" s="27"/>
      <c r="B317" s="27"/>
      <c r="C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row>
    <row r="318" spans="1:37">
      <c r="A318" s="27"/>
      <c r="B318" s="27"/>
      <c r="C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row>
    <row r="319" spans="1:37">
      <c r="A319" s="27"/>
      <c r="B319" s="27"/>
      <c r="C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row>
    <row r="320" spans="1:37">
      <c r="A320" s="27"/>
      <c r="B320" s="27"/>
      <c r="C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row>
    <row r="321" spans="1:37">
      <c r="A321" s="27"/>
      <c r="B321" s="27"/>
      <c r="C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row>
    <row r="322" spans="1:37">
      <c r="A322" s="27"/>
      <c r="B322" s="27"/>
      <c r="C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row>
    <row r="323" spans="1:37">
      <c r="A323" s="27"/>
      <c r="B323" s="27"/>
      <c r="C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row>
    <row r="324" spans="1:37">
      <c r="A324" s="27"/>
      <c r="B324" s="27"/>
      <c r="C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row>
    <row r="325" spans="1:37">
      <c r="A325" s="27"/>
      <c r="B325" s="27"/>
      <c r="C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row>
    <row r="326" spans="1:37">
      <c r="A326" s="27"/>
      <c r="B326" s="27"/>
      <c r="C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row>
    <row r="327" spans="1:37">
      <c r="A327" s="27"/>
      <c r="B327" s="27"/>
      <c r="C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row>
    <row r="328" spans="1:37">
      <c r="A328" s="27"/>
      <c r="B328" s="27"/>
      <c r="C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row>
    <row r="329" spans="1:37">
      <c r="A329" s="27"/>
      <c r="B329" s="27"/>
      <c r="C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row>
    <row r="330" spans="1:37">
      <c r="A330" s="27"/>
      <c r="B330" s="27"/>
      <c r="C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row>
    <row r="331" spans="1:37">
      <c r="A331" s="27"/>
      <c r="B331" s="27"/>
      <c r="C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row>
    <row r="332" spans="1:37">
      <c r="A332" s="27"/>
      <c r="B332" s="27"/>
      <c r="C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row>
    <row r="333" spans="1:37">
      <c r="A333" s="27"/>
      <c r="B333" s="27"/>
      <c r="C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row>
    <row r="334" spans="1:37">
      <c r="A334" s="27"/>
      <c r="B334" s="27"/>
      <c r="C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row>
    <row r="335" spans="1:37">
      <c r="A335" s="27"/>
      <c r="B335" s="27"/>
      <c r="C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row>
    <row r="336" spans="1:37">
      <c r="A336" s="27"/>
      <c r="B336" s="27"/>
      <c r="C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row>
    <row r="337" spans="1:37">
      <c r="A337" s="27"/>
      <c r="B337" s="27"/>
      <c r="C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row>
    <row r="338" spans="1:37">
      <c r="A338" s="27"/>
      <c r="B338" s="27"/>
      <c r="C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row>
    <row r="339" spans="1:37">
      <c r="A339" s="27"/>
      <c r="B339" s="27"/>
      <c r="C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row>
    <row r="340" spans="1:37">
      <c r="A340" s="27"/>
      <c r="B340" s="27"/>
      <c r="C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row>
    <row r="341" spans="1:37">
      <c r="A341" s="27"/>
      <c r="B341" s="27"/>
      <c r="C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row>
    <row r="342" spans="1:37">
      <c r="A342" s="27"/>
      <c r="B342" s="27"/>
      <c r="C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row>
    <row r="343" spans="1:37">
      <c r="A343" s="27"/>
      <c r="B343" s="27"/>
      <c r="C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row>
    <row r="344" spans="1:37">
      <c r="A344" s="27"/>
      <c r="B344" s="27"/>
      <c r="C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row>
    <row r="345" spans="1:37">
      <c r="A345" s="27"/>
      <c r="B345" s="27"/>
      <c r="C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row>
    <row r="346" spans="1:37">
      <c r="A346" s="27"/>
      <c r="B346" s="27"/>
      <c r="C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row>
    <row r="347" spans="1:37">
      <c r="A347" s="27"/>
      <c r="B347" s="27"/>
      <c r="C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row>
    <row r="348" spans="1:37">
      <c r="A348" s="27"/>
      <c r="B348" s="27"/>
      <c r="C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row>
    <row r="349" spans="1:37">
      <c r="A349" s="27"/>
      <c r="B349" s="27"/>
      <c r="C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row>
    <row r="350" spans="1:37">
      <c r="A350" s="27"/>
      <c r="B350" s="27"/>
      <c r="C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row>
    <row r="351" spans="1:37">
      <c r="A351" s="27"/>
      <c r="B351" s="27"/>
      <c r="C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row>
    <row r="352" spans="1:37">
      <c r="A352" s="27"/>
      <c r="B352" s="27"/>
      <c r="C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row>
    <row r="353" spans="1:37">
      <c r="A353" s="27"/>
      <c r="B353" s="27"/>
      <c r="C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row>
    <row r="354" spans="1:37">
      <c r="A354" s="27"/>
      <c r="B354" s="27"/>
      <c r="C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row>
    <row r="355" spans="1:37">
      <c r="A355" s="27"/>
      <c r="B355" s="27"/>
      <c r="C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row>
    <row r="356" spans="1:37">
      <c r="A356" s="27"/>
      <c r="B356" s="27"/>
      <c r="C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row>
    <row r="357" spans="1:37">
      <c r="A357" s="27"/>
      <c r="B357" s="27"/>
      <c r="C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row>
    <row r="358" spans="1:37">
      <c r="C358" s="28"/>
      <c r="F358" s="27"/>
      <c r="G358" s="28"/>
    </row>
    <row r="359" spans="1:37">
      <c r="C359" s="28"/>
      <c r="F359" s="27"/>
      <c r="G359" s="28"/>
    </row>
    <row r="360" spans="1:37">
      <c r="C360" s="28"/>
      <c r="F360" s="27"/>
      <c r="G360" s="28"/>
    </row>
    <row r="361" spans="1:37">
      <c r="C361" s="28"/>
      <c r="F361" s="27"/>
      <c r="G361" s="28"/>
    </row>
    <row r="362" spans="1:37">
      <c r="C362" s="28"/>
      <c r="F362" s="27"/>
      <c r="G362" s="28"/>
    </row>
    <row r="363" spans="1:37">
      <c r="C363" s="28"/>
    </row>
    <row r="364" spans="1:37">
      <c r="C364" s="28"/>
    </row>
    <row r="365" spans="1:37">
      <c r="C365" s="28"/>
    </row>
  </sheetData>
  <sheetProtection password="EAD7" sheet="1" objects="1" scenarios="1"/>
  <mergeCells count="32">
    <mergeCell ref="E2:F2"/>
    <mergeCell ref="AT14:AT15"/>
    <mergeCell ref="AP14:AP15"/>
    <mergeCell ref="AQ14:AQ15"/>
    <mergeCell ref="M14:M15"/>
    <mergeCell ref="AS14:AS15"/>
    <mergeCell ref="AL14:AL15"/>
    <mergeCell ref="AK14:AK15"/>
    <mergeCell ref="S14:S15"/>
    <mergeCell ref="U14:U15"/>
    <mergeCell ref="V14:V15"/>
    <mergeCell ref="AR14:AR15"/>
    <mergeCell ref="AN14:AN15"/>
    <mergeCell ref="AM14:AM15"/>
    <mergeCell ref="P14:P15"/>
    <mergeCell ref="W14:W15"/>
    <mergeCell ref="A14:A15"/>
    <mergeCell ref="B14:B15"/>
    <mergeCell ref="C14:C15"/>
    <mergeCell ref="G14:G15"/>
    <mergeCell ref="H14:H15"/>
    <mergeCell ref="G4:H4"/>
    <mergeCell ref="N14:N15"/>
    <mergeCell ref="O14:O15"/>
    <mergeCell ref="J14:J15"/>
    <mergeCell ref="K14:K15"/>
    <mergeCell ref="I14:I15"/>
    <mergeCell ref="C8:C11"/>
    <mergeCell ref="E14:E15"/>
    <mergeCell ref="D14:D15"/>
    <mergeCell ref="Q14:Q15"/>
    <mergeCell ref="T14:T15"/>
  </mergeCells>
  <hyperlinks>
    <hyperlink ref="E2:F2" location="Startseite!C7" display="zurück zur Startseite" xr:uid="{00000000-0004-0000-0600-000000000000}"/>
  </hyperlinks>
  <pageMargins left="1.5748031496062993" right="0.78740157480314965" top="0.98425196850393704" bottom="0.98425196850393704" header="0.51181102362204722" footer="0.51181102362204722"/>
  <pageSetup paperSize="9" scale="96" orientation="portrait" horizontalDpi="300" verticalDpi="300" r:id="rId1"/>
  <headerFooter alignWithMargins="0">
    <oddFooter>&amp;L&amp;D&amp;C            &amp;RCopyright: Handwerkskammer Düsseldorf</oddFooter>
  </headerFooter>
  <colBreaks count="4" manualBreakCount="4">
    <brk id="6" min="3" max="41" man="1"/>
    <brk id="30" min="3" max="41" man="1"/>
    <brk id="36" min="3" max="41" man="1"/>
    <brk id="41" min="3" max="4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221">
    <tabColor theme="4" tint="0.79998168889431442"/>
    <outlinePr summaryBelow="0"/>
    <pageSetUpPr fitToPage="1"/>
  </sheetPr>
  <dimension ref="A1:AP599"/>
  <sheetViews>
    <sheetView showGridLines="0" zoomScale="90" zoomScaleNormal="90" zoomScalePageLayoutView="70" workbookViewId="0">
      <selection activeCell="D15" sqref="D15"/>
    </sheetView>
  </sheetViews>
  <sheetFormatPr baseColWidth="10" defaultColWidth="11.44140625" defaultRowHeight="13.2" outlineLevelRow="1" outlineLevelCol="1"/>
  <cols>
    <col min="1" max="1" width="20.88671875" style="14" customWidth="1"/>
    <col min="2" max="2" width="5.44140625" style="14" customWidth="1"/>
    <col min="3" max="3" width="4.6640625" style="14" customWidth="1"/>
    <col min="4" max="4" width="35.44140625" style="14" customWidth="1"/>
    <col min="5" max="5" width="7.88671875" style="18" customWidth="1"/>
    <col min="6" max="6" width="8.5546875" style="14" customWidth="1"/>
    <col min="7" max="7" width="9.6640625" style="14" customWidth="1"/>
    <col min="8" max="8" width="11" style="14" customWidth="1"/>
    <col min="9" max="9" width="8.44140625" style="14" customWidth="1"/>
    <col min="10" max="10" width="12" style="14" customWidth="1"/>
    <col min="11" max="11" width="16.109375" style="14" customWidth="1"/>
    <col min="12" max="12" width="15.44140625" style="14" customWidth="1"/>
    <col min="13" max="14" width="15.5546875" style="14" customWidth="1"/>
    <col min="15" max="15" width="15.109375" style="14" customWidth="1"/>
    <col min="16" max="18" width="12" style="14" hidden="1" customWidth="1" outlineLevel="1"/>
    <col min="19" max="19" width="31.109375" style="19" customWidth="1" collapsed="1"/>
    <col min="20" max="20" width="15.88671875" style="20" customWidth="1"/>
    <col min="21" max="27" width="11.44140625" style="19" customWidth="1"/>
    <col min="28" max="28" width="11.44140625" style="986" customWidth="1"/>
    <col min="29" max="42" width="11.44140625" style="19"/>
    <col min="43" max="16384" width="11.44140625" style="14"/>
  </cols>
  <sheetData>
    <row r="1" spans="3:42">
      <c r="S1" s="14"/>
      <c r="T1" s="14"/>
      <c r="U1" s="14"/>
      <c r="V1" s="14"/>
      <c r="W1" s="14"/>
      <c r="X1" s="14"/>
      <c r="Y1" s="14"/>
      <c r="Z1" s="14"/>
      <c r="AA1" s="14"/>
      <c r="AB1" s="983"/>
      <c r="AC1" s="14"/>
      <c r="AD1" s="14"/>
      <c r="AE1" s="14"/>
      <c r="AF1" s="14"/>
      <c r="AG1" s="14"/>
      <c r="AH1" s="14"/>
      <c r="AI1" s="14"/>
      <c r="AJ1" s="14"/>
      <c r="AK1" s="14"/>
      <c r="AL1" s="14"/>
      <c r="AM1" s="14"/>
      <c r="AN1" s="14"/>
      <c r="AO1" s="14"/>
      <c r="AP1" s="14"/>
    </row>
    <row r="2" spans="3:42">
      <c r="K2" s="1146" t="s">
        <v>503</v>
      </c>
      <c r="L2" s="1147"/>
      <c r="N2" s="1144" t="s">
        <v>502</v>
      </c>
      <c r="O2" s="1145"/>
      <c r="S2" s="14"/>
      <c r="T2" s="14"/>
      <c r="U2" s="14"/>
      <c r="V2" s="14"/>
      <c r="W2" s="14"/>
      <c r="X2" s="14"/>
      <c r="Y2" s="14"/>
      <c r="Z2" s="14"/>
      <c r="AA2" s="14"/>
      <c r="AB2" s="983"/>
      <c r="AC2" s="14"/>
      <c r="AD2" s="14"/>
      <c r="AE2" s="14"/>
      <c r="AF2" s="14"/>
      <c r="AG2" s="14"/>
      <c r="AH2" s="14"/>
      <c r="AI2" s="14"/>
      <c r="AJ2" s="14"/>
      <c r="AK2" s="14"/>
      <c r="AL2" s="14"/>
      <c r="AM2" s="14"/>
      <c r="AN2" s="14"/>
      <c r="AO2" s="14"/>
      <c r="AP2" s="14"/>
    </row>
    <row r="3" spans="3:42">
      <c r="S3" s="14"/>
      <c r="T3" s="14"/>
      <c r="U3" s="14"/>
      <c r="V3" s="14"/>
      <c r="W3" s="14"/>
      <c r="X3" s="14"/>
      <c r="Y3" s="14"/>
      <c r="Z3" s="14"/>
      <c r="AA3" s="14"/>
      <c r="AB3" s="983"/>
      <c r="AC3" s="14"/>
      <c r="AD3" s="14"/>
      <c r="AE3" s="14"/>
      <c r="AF3" s="14"/>
      <c r="AG3" s="14"/>
      <c r="AH3" s="14"/>
      <c r="AI3" s="14"/>
      <c r="AJ3" s="14"/>
      <c r="AK3" s="14"/>
      <c r="AL3" s="14"/>
      <c r="AM3" s="14"/>
      <c r="AN3" s="14"/>
      <c r="AO3" s="14"/>
      <c r="AP3" s="14"/>
    </row>
    <row r="4" spans="3:42" ht="22.5" customHeight="1">
      <c r="C4" s="116" t="str">
        <f xml:space="preserve"> CONCATENATE( "Personalkosten 1. Jahr des Unternehmens:  ", Startseite!C14)</f>
        <v xml:space="preserve">Personalkosten 1. Jahr des Unternehmens:  </v>
      </c>
      <c r="D4" s="256"/>
      <c r="E4" s="257"/>
      <c r="F4" s="256"/>
      <c r="G4" s="256"/>
      <c r="H4" s="256"/>
      <c r="I4" s="258"/>
      <c r="J4" s="256"/>
      <c r="K4" s="258" t="str">
        <f>IF(Startseite!D16=0,"","       Planungszeitraum:")</f>
        <v xml:space="preserve">       Planungszeitraum:</v>
      </c>
      <c r="L4" s="256"/>
      <c r="M4" s="259">
        <f>IF(Startseite!D16=0,"",Startseite!D16)</f>
        <v>45597</v>
      </c>
      <c r="N4" s="260" t="s">
        <v>196</v>
      </c>
      <c r="O4" s="259">
        <f>IF(M4="","",M4+350)</f>
        <v>45947</v>
      </c>
      <c r="P4" s="256"/>
      <c r="Q4" s="256"/>
      <c r="R4" s="256"/>
      <c r="S4" s="14"/>
      <c r="T4" s="14"/>
      <c r="U4" s="14"/>
      <c r="V4" s="14"/>
      <c r="W4" s="14"/>
      <c r="X4" s="14"/>
      <c r="Y4" s="14"/>
      <c r="Z4" s="14"/>
      <c r="AA4" s="14"/>
      <c r="AB4" s="983"/>
      <c r="AC4" s="14"/>
      <c r="AD4" s="14"/>
      <c r="AE4" s="14"/>
      <c r="AF4" s="14"/>
      <c r="AG4" s="14"/>
      <c r="AH4" s="14"/>
      <c r="AI4" s="14"/>
      <c r="AJ4" s="14"/>
      <c r="AK4" s="14"/>
      <c r="AL4" s="14"/>
      <c r="AM4" s="14"/>
      <c r="AN4" s="14"/>
      <c r="AO4" s="14"/>
      <c r="AP4" s="14"/>
    </row>
    <row r="5" spans="3:42" ht="24.6">
      <c r="C5" s="263"/>
      <c r="D5" s="256"/>
      <c r="E5" s="257"/>
      <c r="F5" s="256"/>
      <c r="G5" s="256"/>
      <c r="H5" s="258"/>
      <c r="I5" s="258"/>
      <c r="J5" s="258"/>
      <c r="K5" s="256" t="str">
        <f>TEXT(M4, " - " )</f>
        <v xml:space="preserve"> - </v>
      </c>
      <c r="L5" s="264"/>
      <c r="M5" s="260"/>
      <c r="N5" s="265"/>
      <c r="O5" s="256"/>
      <c r="P5" s="256"/>
      <c r="Q5" s="256"/>
      <c r="R5" s="256"/>
      <c r="S5" s="14"/>
      <c r="T5" s="14"/>
      <c r="U5" s="14"/>
      <c r="V5" s="14"/>
      <c r="W5" s="14"/>
      <c r="X5" s="14"/>
      <c r="Y5" s="14"/>
      <c r="Z5" s="14"/>
      <c r="AA5" s="14"/>
      <c r="AB5" s="983"/>
      <c r="AC5" s="14"/>
      <c r="AD5" s="14"/>
      <c r="AE5" s="14"/>
      <c r="AF5" s="14"/>
      <c r="AG5" s="14"/>
      <c r="AH5" s="14"/>
      <c r="AI5" s="14"/>
      <c r="AJ5" s="14"/>
      <c r="AK5" s="14"/>
      <c r="AL5" s="14"/>
      <c r="AM5" s="14"/>
      <c r="AN5" s="14"/>
      <c r="AO5" s="14"/>
      <c r="AP5" s="14"/>
    </row>
    <row r="6" spans="3:42" ht="20.100000000000001" customHeight="1">
      <c r="C6" s="256"/>
      <c r="D6" s="256"/>
      <c r="E6" s="257"/>
      <c r="F6" s="256"/>
      <c r="G6" s="256"/>
      <c r="H6" s="267"/>
      <c r="I6" s="268" t="s">
        <v>10</v>
      </c>
      <c r="J6" s="256"/>
      <c r="K6" s="256"/>
      <c r="L6" s="865">
        <f>1+0.073+0.008+0.017+0.093+0.013+0.0006+0.041+0.0058</f>
        <v>1.2513999999999996</v>
      </c>
      <c r="M6" s="256"/>
      <c r="N6" s="256"/>
      <c r="O6" s="256"/>
      <c r="P6" s="256"/>
      <c r="Q6" s="256"/>
      <c r="R6" s="256"/>
      <c r="S6" s="262"/>
      <c r="T6" s="262"/>
      <c r="U6" s="261"/>
      <c r="V6" s="261"/>
      <c r="W6" s="261"/>
      <c r="X6" s="261"/>
      <c r="Y6" s="261"/>
      <c r="Z6" s="261"/>
      <c r="AA6" s="261"/>
      <c r="AB6" s="984"/>
      <c r="AC6" s="266"/>
      <c r="AD6" s="266"/>
      <c r="AE6" s="266"/>
      <c r="AF6" s="266"/>
      <c r="AG6" s="44"/>
      <c r="AH6" s="44"/>
      <c r="AI6" s="44"/>
      <c r="AJ6" s="44"/>
      <c r="AK6" s="44"/>
      <c r="AL6" s="44"/>
      <c r="AM6" s="44"/>
      <c r="AN6" s="44"/>
      <c r="AO6" s="44"/>
      <c r="AP6" s="44"/>
    </row>
    <row r="7" spans="3:42" ht="20.100000000000001" customHeight="1">
      <c r="C7" s="256"/>
      <c r="D7" s="256"/>
      <c r="E7" s="257"/>
      <c r="F7" s="256"/>
      <c r="G7" s="256"/>
      <c r="H7" s="256"/>
      <c r="I7" s="268" t="s">
        <v>316</v>
      </c>
      <c r="J7" s="269"/>
      <c r="K7" s="256"/>
      <c r="L7" s="270">
        <f>1+0.13+0.154+0.011+0.0024+0.0006+0.02</f>
        <v>1.3179999999999996</v>
      </c>
      <c r="M7" s="256"/>
      <c r="N7" s="256"/>
      <c r="O7" s="256"/>
      <c r="P7" s="256"/>
      <c r="Q7" s="256"/>
      <c r="R7" s="256"/>
      <c r="S7" s="14"/>
      <c r="T7" s="262"/>
      <c r="U7" s="261"/>
      <c r="V7" s="261"/>
      <c r="W7" s="261"/>
      <c r="X7" s="261"/>
      <c r="Y7" s="976"/>
      <c r="Z7" s="976"/>
      <c r="AA7" s="976"/>
      <c r="AB7" s="984"/>
      <c r="AC7" s="977"/>
      <c r="AD7" s="977"/>
      <c r="AE7" s="977"/>
      <c r="AF7" s="977"/>
      <c r="AG7" s="978"/>
      <c r="AH7" s="978"/>
      <c r="AI7" s="978"/>
      <c r="AJ7" s="978"/>
      <c r="AK7" s="44"/>
      <c r="AL7" s="44"/>
      <c r="AM7" s="44"/>
      <c r="AN7" s="44"/>
      <c r="AO7" s="44"/>
      <c r="AP7" s="44"/>
    </row>
    <row r="8" spans="3:42">
      <c r="C8" s="256"/>
      <c r="D8" s="256"/>
      <c r="E8" s="257"/>
      <c r="F8" s="256"/>
      <c r="G8" s="256"/>
      <c r="H8" s="256"/>
      <c r="I8" s="256"/>
      <c r="J8" s="256"/>
      <c r="K8" s="256"/>
      <c r="L8" s="256"/>
      <c r="M8" s="256"/>
      <c r="N8" s="256"/>
      <c r="O8" s="271"/>
      <c r="P8" s="256"/>
      <c r="Q8" s="256"/>
      <c r="R8" s="256"/>
      <c r="S8" s="261"/>
      <c r="T8" s="262"/>
      <c r="U8" s="261"/>
      <c r="V8" s="261"/>
      <c r="W8" s="261"/>
      <c r="X8" s="261"/>
      <c r="Y8" s="976"/>
      <c r="Z8" s="976"/>
      <c r="AA8" s="976"/>
      <c r="AB8" s="984"/>
      <c r="AC8" s="977"/>
      <c r="AD8" s="977"/>
      <c r="AE8" s="977"/>
      <c r="AF8" s="977"/>
      <c r="AG8" s="978"/>
      <c r="AH8" s="978"/>
      <c r="AI8" s="978"/>
      <c r="AJ8" s="978"/>
      <c r="AK8" s="44"/>
      <c r="AL8" s="44"/>
      <c r="AM8" s="44"/>
      <c r="AN8" s="44"/>
      <c r="AO8" s="44"/>
      <c r="AP8" s="44"/>
    </row>
    <row r="9" spans="3:42" ht="23.25" customHeight="1">
      <c r="C9" s="272"/>
      <c r="D9" s="256"/>
      <c r="E9" s="273" t="str">
        <f>IF(SUM($E$15:$E$38)&gt;INT(SUM($E$15:$E$38)),"Beachte Kommentar in C7","")</f>
        <v/>
      </c>
      <c r="F9" s="274"/>
      <c r="G9" s="275"/>
      <c r="H9" s="1136" t="s">
        <v>52</v>
      </c>
      <c r="I9" s="1137"/>
      <c r="J9" s="1138"/>
      <c r="K9" s="256"/>
      <c r="L9" s="256"/>
      <c r="M9" s="256"/>
      <c r="N9" s="256"/>
      <c r="O9" s="256"/>
      <c r="P9" s="1141" t="s">
        <v>197</v>
      </c>
      <c r="Q9" s="1142"/>
      <c r="R9" s="1143"/>
      <c r="S9" s="261"/>
      <c r="T9" s="262"/>
      <c r="U9" s="261"/>
      <c r="V9" s="261"/>
      <c r="W9" s="261"/>
      <c r="X9" s="261"/>
      <c r="Y9" s="976"/>
      <c r="Z9" s="976"/>
      <c r="AA9" s="976"/>
      <c r="AB9" s="984"/>
      <c r="AC9" s="977"/>
      <c r="AD9" s="977"/>
      <c r="AE9" s="977"/>
      <c r="AF9" s="977"/>
      <c r="AG9" s="978"/>
      <c r="AH9" s="978"/>
      <c r="AI9" s="978"/>
      <c r="AJ9" s="978"/>
      <c r="AK9" s="44"/>
      <c r="AL9" s="44"/>
      <c r="AM9" s="44"/>
      <c r="AN9" s="44"/>
      <c r="AO9" s="44"/>
      <c r="AP9" s="44"/>
    </row>
    <row r="10" spans="3:42">
      <c r="C10" s="276" t="s">
        <v>14</v>
      </c>
      <c r="D10" s="277"/>
      <c r="E10" s="278" t="s">
        <v>177</v>
      </c>
      <c r="F10" s="1139" t="s">
        <v>13</v>
      </c>
      <c r="G10" s="1140"/>
      <c r="H10" s="279" t="s">
        <v>50</v>
      </c>
      <c r="I10" s="279" t="s">
        <v>127</v>
      </c>
      <c r="J10" s="280" t="s">
        <v>49</v>
      </c>
      <c r="K10" s="281" t="s">
        <v>198</v>
      </c>
      <c r="L10" s="281" t="s">
        <v>199</v>
      </c>
      <c r="M10" s="281" t="s">
        <v>11</v>
      </c>
      <c r="N10" s="281" t="s">
        <v>12</v>
      </c>
      <c r="O10" s="281" t="s">
        <v>2</v>
      </c>
      <c r="P10" s="279" t="s">
        <v>177</v>
      </c>
      <c r="Q10" s="279" t="s">
        <v>178</v>
      </c>
      <c r="R10" s="279" t="s">
        <v>180</v>
      </c>
      <c r="S10" s="261"/>
      <c r="T10" s="262"/>
      <c r="U10" s="261"/>
      <c r="V10" s="261"/>
      <c r="W10" s="261"/>
      <c r="X10" s="261"/>
      <c r="Y10" s="976"/>
      <c r="Z10" s="976"/>
      <c r="AA10" s="976"/>
      <c r="AB10" s="984"/>
      <c r="AC10" s="977"/>
      <c r="AD10" s="977"/>
      <c r="AE10" s="977"/>
      <c r="AF10" s="977"/>
      <c r="AG10" s="978"/>
      <c r="AH10" s="978"/>
      <c r="AI10" s="978"/>
      <c r="AJ10" s="978"/>
      <c r="AK10" s="44"/>
      <c r="AL10" s="44"/>
      <c r="AM10" s="44"/>
      <c r="AN10" s="44"/>
      <c r="AO10" s="44"/>
      <c r="AP10" s="44"/>
    </row>
    <row r="11" spans="3:42">
      <c r="C11" s="282"/>
      <c r="D11" s="282"/>
      <c r="E11" s="283"/>
      <c r="F11" s="995" t="s">
        <v>546</v>
      </c>
      <c r="G11" s="284"/>
      <c r="H11" s="285" t="s">
        <v>35</v>
      </c>
      <c r="I11" s="286" t="s">
        <v>128</v>
      </c>
      <c r="J11" s="287" t="s">
        <v>28</v>
      </c>
      <c r="K11" s="288" t="s">
        <v>28</v>
      </c>
      <c r="L11" s="288" t="s">
        <v>28</v>
      </c>
      <c r="M11" s="288" t="s">
        <v>200</v>
      </c>
      <c r="N11" s="288" t="s">
        <v>15</v>
      </c>
      <c r="O11" s="288" t="s">
        <v>36</v>
      </c>
      <c r="P11" s="285" t="s">
        <v>201</v>
      </c>
      <c r="Q11" s="285" t="s">
        <v>179</v>
      </c>
      <c r="R11" s="285" t="s">
        <v>181</v>
      </c>
      <c r="S11" s="261"/>
      <c r="T11" s="262"/>
      <c r="U11" s="261"/>
      <c r="V11" s="261"/>
      <c r="W11" s="261"/>
      <c r="X11" s="261"/>
      <c r="Y11" s="976"/>
      <c r="Z11" s="976"/>
      <c r="AA11" s="976"/>
      <c r="AB11" s="984"/>
      <c r="AC11" s="977"/>
      <c r="AD11" s="977"/>
      <c r="AE11" s="977"/>
      <c r="AF11" s="977"/>
      <c r="AG11" s="978"/>
      <c r="AH11" s="978"/>
      <c r="AI11" s="978"/>
      <c r="AJ11" s="978"/>
      <c r="AK11" s="44"/>
      <c r="AL11" s="44"/>
      <c r="AM11" s="44"/>
      <c r="AN11" s="44"/>
      <c r="AO11" s="44"/>
      <c r="AP11" s="44"/>
    </row>
    <row r="12" spans="3:42" ht="12.75" customHeight="1">
      <c r="C12" s="282"/>
      <c r="D12" s="289" t="s">
        <v>366</v>
      </c>
      <c r="E12" s="283"/>
      <c r="F12" s="288" t="s">
        <v>202</v>
      </c>
      <c r="G12" s="288" t="s">
        <v>203</v>
      </c>
      <c r="H12" s="290" t="s">
        <v>101</v>
      </c>
      <c r="I12" s="286" t="s">
        <v>129</v>
      </c>
      <c r="J12" s="287" t="s">
        <v>101</v>
      </c>
      <c r="K12" s="288" t="s">
        <v>204</v>
      </c>
      <c r="L12" s="288" t="s">
        <v>188</v>
      </c>
      <c r="M12" s="288" t="s">
        <v>71</v>
      </c>
      <c r="N12" s="288" t="s">
        <v>101</v>
      </c>
      <c r="O12" s="288" t="s">
        <v>101</v>
      </c>
      <c r="P12" s="285" t="s">
        <v>205</v>
      </c>
      <c r="Q12" s="285" t="s">
        <v>71</v>
      </c>
      <c r="R12" s="285"/>
      <c r="S12" s="261"/>
      <c r="T12" s="262" t="str">
        <f>IF(AND($E12&gt;0,$L12&gt;0,$L12&lt;=$E12*$L$7*450,$O12&gt;$E12*7085),"Überprüfe ggf. Minijob(s)","")</f>
        <v/>
      </c>
      <c r="U12" s="261"/>
      <c r="V12" s="261"/>
      <c r="W12" s="261"/>
      <c r="X12" s="261"/>
      <c r="Y12" s="976"/>
      <c r="Z12" s="976"/>
      <c r="AA12" s="976"/>
      <c r="AB12" s="984"/>
      <c r="AC12" s="977"/>
      <c r="AD12" s="977"/>
      <c r="AE12" s="977"/>
      <c r="AF12" s="977"/>
      <c r="AG12" s="978"/>
      <c r="AH12" s="978"/>
      <c r="AI12" s="978"/>
      <c r="AJ12" s="978"/>
      <c r="AK12" s="44"/>
      <c r="AL12" s="44"/>
      <c r="AM12" s="44"/>
      <c r="AN12" s="44"/>
      <c r="AO12" s="44"/>
      <c r="AP12" s="44"/>
    </row>
    <row r="13" spans="3:42" ht="12.75" customHeight="1">
      <c r="C13" s="282"/>
      <c r="D13" s="282"/>
      <c r="E13" s="283"/>
      <c r="F13" s="288" t="s">
        <v>206</v>
      </c>
      <c r="G13" s="291" t="s">
        <v>206</v>
      </c>
      <c r="H13" s="290"/>
      <c r="I13" s="286"/>
      <c r="J13" s="287"/>
      <c r="K13" s="288" t="s">
        <v>101</v>
      </c>
      <c r="L13" s="288" t="s">
        <v>101</v>
      </c>
      <c r="M13" s="288"/>
      <c r="N13" s="288"/>
      <c r="O13" s="288"/>
      <c r="P13" s="285"/>
      <c r="Q13" s="285"/>
      <c r="R13" s="285"/>
      <c r="S13" s="261"/>
      <c r="T13" s="262" t="str">
        <f>IF(AND($E13&gt;0,$L13&gt;0,$L13&lt;=$E13*$L$7*450,$O13&gt;$E13*7085),"Überprüfe ggf. Minijob(s)","")</f>
        <v/>
      </c>
      <c r="U13" s="261"/>
      <c r="V13" s="261"/>
      <c r="W13" s="261"/>
      <c r="X13" s="261"/>
      <c r="Y13" s="976"/>
      <c r="Z13" s="976"/>
      <c r="AA13" s="976"/>
      <c r="AB13" s="984"/>
      <c r="AC13" s="977"/>
      <c r="AD13" s="977"/>
      <c r="AE13" s="977"/>
      <c r="AF13" s="977"/>
      <c r="AG13" s="978"/>
      <c r="AH13" s="978"/>
      <c r="AI13" s="978"/>
      <c r="AJ13" s="978"/>
      <c r="AK13" s="44"/>
      <c r="AL13" s="44"/>
      <c r="AM13" s="44"/>
      <c r="AN13" s="44"/>
      <c r="AO13" s="44"/>
      <c r="AP13" s="44"/>
    </row>
    <row r="14" spans="3:42" ht="12.75" customHeight="1">
      <c r="C14" s="292"/>
      <c r="D14" s="292"/>
      <c r="E14" s="293"/>
      <c r="F14" s="294"/>
      <c r="G14" s="295"/>
      <c r="H14" s="296"/>
      <c r="I14" s="296"/>
      <c r="J14" s="297"/>
      <c r="K14" s="294"/>
      <c r="L14" s="294"/>
      <c r="M14" s="294"/>
      <c r="N14" s="294"/>
      <c r="O14" s="294"/>
      <c r="P14" s="298"/>
      <c r="Q14" s="298"/>
      <c r="R14" s="298"/>
      <c r="S14" s="261"/>
      <c r="T14" s="262" t="str">
        <f>IF(AND($E14&gt;0,$L14&gt;0,$L14&lt;=$E14*$L$7*450,$O14&gt;$E14*7085),"Überprüfe ggf. Minijob(s)","")</f>
        <v/>
      </c>
      <c r="U14" s="261"/>
      <c r="V14" s="261"/>
      <c r="W14" s="261"/>
      <c r="X14" s="261"/>
      <c r="Y14" s="976"/>
      <c r="Z14" s="976"/>
      <c r="AA14" s="976"/>
      <c r="AB14" s="984"/>
      <c r="AC14" s="977"/>
      <c r="AD14" s="977"/>
      <c r="AE14" s="977"/>
      <c r="AF14" s="977"/>
      <c r="AG14" s="978"/>
      <c r="AH14" s="978"/>
      <c r="AI14" s="978"/>
      <c r="AJ14" s="978"/>
      <c r="AK14" s="44"/>
      <c r="AL14" s="44"/>
      <c r="AM14" s="44"/>
      <c r="AN14" s="44"/>
      <c r="AO14" s="44"/>
      <c r="AP14" s="44"/>
    </row>
    <row r="15" spans="3:42" ht="19.5" customHeight="1">
      <c r="C15" s="282">
        <v>1</v>
      </c>
      <c r="D15" s="859"/>
      <c r="E15" s="860"/>
      <c r="F15" s="991"/>
      <c r="G15" s="991"/>
      <c r="H15" s="800"/>
      <c r="I15" s="801"/>
      <c r="J15" s="802"/>
      <c r="K15" s="299">
        <f>IF(E15=0,0,IF(E15&gt;=1,IF(AND(OR(H15&gt;=1,I15&gt;=1), J15&gt;1),"Lohn/Gehalt ???",E15*IF(H15="",J15,H15*I15*4.33))))</f>
        <v>0</v>
      </c>
      <c r="L15" s="300">
        <f t="shared" ref="L15:L22" si="0">IF(E15=0,0,(IF(K15/E15&lt;539,K15*L$7,K15*L$6)))</f>
        <v>0</v>
      </c>
      <c r="M15" s="862"/>
      <c r="N15" s="804"/>
      <c r="O15" s="301">
        <f>IF(AND(Hilfstabelle!Q3="",Hilfstabelle!R3=""),L15*12+M15*L15+N15*IF(K15&lt;451,L$7,L$6),IF(OR(Hilfstabelle!Q3="",Hilfstabelle!R3="",Hilfstabelle!Q3=0,Hilfstabelle!R3=0,Hilfstabelle!Q3&gt;Hilfstabelle!R3),0,L15*(Hilfstabelle!R3-Hilfstabelle!Q3+1)+L15*M15+N15*IF(K15&lt;451,L$7,L$6)))</f>
        <v>0</v>
      </c>
      <c r="P15" s="302">
        <f>$E15*(IF(Hilfstabelle!$Q3="",1,IF(Hilfstabelle!$Q3="bis",Hilfstabelle!$R3/12,IF(Hilfstabelle!$Q3="ab",(12-Hilfstabelle!$R3+1)/12,((Hilfstabelle!R3+1)-Hilfstabelle!Q3)/12))))</f>
        <v>0</v>
      </c>
      <c r="Q15" s="864"/>
      <c r="R15" s="303">
        <f t="shared" ref="R15:R36" si="1">P15*Q15</f>
        <v>0</v>
      </c>
      <c r="S15" s="262" t="str">
        <f>IF(AC15="ja","Bitte wählen Sie in den Spalten H - J zwischen Bruttolohn pro Stunde und Bruttogehalt pro Monat","")</f>
        <v/>
      </c>
      <c r="T15" s="262"/>
      <c r="U15" s="261"/>
      <c r="V15" s="261"/>
      <c r="W15" s="261"/>
      <c r="X15" s="781"/>
      <c r="Y15" s="976"/>
      <c r="Z15" s="976" t="str">
        <f>IF(ISERROR(O15),"",IF(AND($E15&gt;0,$L15&gt;0,$L15&lt;=$E15*$L$7*450,$O15&gt;$E15*7085),"Überprüfe ggf. Minijob(s)",""))</f>
        <v/>
      </c>
      <c r="AA15" s="976"/>
      <c r="AB15" s="780" t="str">
        <f>IF(AND(Hilfstabelle!$Q3="",Hilfstabelle!$R3=""),"",IF(OR(Hilfstabelle!$Q3="",Hilfstabelle!$R3="",Hilfstabelle!$Q3=0,Hilfstabelle!$R3=0,Hilfstabelle!$Q3&gt;Hilfstabelle!$R3),"ja",""))</f>
        <v/>
      </c>
      <c r="AC15" s="979" t="str">
        <f>IF(OR(AND(H15&gt;0,I15&gt;0,J15&gt;0),AND(H15&gt;0,J15&gt;0),AND(I15&gt;0,J15&gt;0)),"ja","")</f>
        <v/>
      </c>
      <c r="AD15" s="977"/>
      <c r="AE15" s="977"/>
      <c r="AF15" s="977"/>
      <c r="AG15" s="978"/>
      <c r="AH15" s="978"/>
      <c r="AI15" s="978"/>
      <c r="AJ15" s="978"/>
      <c r="AK15" s="44"/>
      <c r="AL15" s="44"/>
      <c r="AM15" s="44"/>
      <c r="AN15" s="44"/>
      <c r="AO15" s="44"/>
      <c r="AP15" s="44"/>
    </row>
    <row r="16" spans="3:42" ht="20.100000000000001" customHeight="1">
      <c r="C16" s="282">
        <v>2</v>
      </c>
      <c r="D16" s="859"/>
      <c r="E16" s="860"/>
      <c r="F16" s="991"/>
      <c r="G16" s="991"/>
      <c r="H16" s="800"/>
      <c r="I16" s="801"/>
      <c r="J16" s="802"/>
      <c r="K16" s="299">
        <f t="shared" ref="K16:K38" si="2">IF(E16=0,0,IF(E16&gt;=1,IF(AND(OR(H16&gt;=1,I16&gt;=1), J16&gt;1),"Lohn/Gehalt ???",E16*IF(H16="",J16,H16*I16*4.33))))</f>
        <v>0</v>
      </c>
      <c r="L16" s="300">
        <f t="shared" si="0"/>
        <v>0</v>
      </c>
      <c r="M16" s="862"/>
      <c r="N16" s="804"/>
      <c r="O16" s="301">
        <f>IF(AND(Hilfstabelle!Q4="",Hilfstabelle!R4=""),L16*12+M16*L16+N16*IF(K16&lt;451,L$7,L$6),IF(OR(Hilfstabelle!Q4="",Hilfstabelle!R4="",Hilfstabelle!Q4=0,Hilfstabelle!R4=0,Hilfstabelle!Q4&gt;Hilfstabelle!R4),0,L16*(Hilfstabelle!R4-Hilfstabelle!Q4+1)+L16*M16+N16*IF(K16&lt;451,L$7,L$6)))</f>
        <v>0</v>
      </c>
      <c r="P16" s="302">
        <f>$E16*(IF(Hilfstabelle!$Q4="",1,IF(Hilfstabelle!$Q4="bis",Hilfstabelle!$R4/12,IF(Hilfstabelle!$Q4="ab",(12-Hilfstabelle!$R4+1)/12,((Hilfstabelle!R4+1)-Hilfstabelle!Q4)/12))))</f>
        <v>0</v>
      </c>
      <c r="Q16" s="864"/>
      <c r="R16" s="303">
        <f t="shared" si="1"/>
        <v>0</v>
      </c>
      <c r="S16" s="262" t="str">
        <f t="shared" ref="S16:S38" si="3">IF(AC16="ja","Bitte wählen Sie in den Spalten H - J zwischen Bruttolohn pro Stunde und Bruttogehalt pro Monat","")</f>
        <v/>
      </c>
      <c r="T16" s="262"/>
      <c r="U16" s="261"/>
      <c r="V16" s="261"/>
      <c r="W16" s="261"/>
      <c r="X16" s="781"/>
      <c r="Y16" s="976"/>
      <c r="Z16" s="976" t="str">
        <f t="shared" ref="Z16:Z38" si="4">IF(ISERROR(O16),"",IF(AND($E16&gt;0,$L16&gt;0,$L16&lt;=$E16*$L$7*450,$O16&gt;$E16*7085),"Überprüfe ggf. Minijob(s)",""))</f>
        <v/>
      </c>
      <c r="AA16" s="976"/>
      <c r="AB16" s="780" t="str">
        <f>IF(AND(Hilfstabelle!$Q4="",Hilfstabelle!$R4=""),"",IF(OR(Hilfstabelle!$Q4="",Hilfstabelle!$R4="",Hilfstabelle!$Q4=0,Hilfstabelle!$R4=0,Hilfstabelle!$Q4&gt;Hilfstabelle!$R4),"ja",""))</f>
        <v/>
      </c>
      <c r="AC16" s="979" t="str">
        <f t="shared" ref="AC16:AC38" si="5">IF(OR(AND(H16&gt;0,I16&gt;0,J16&gt;0),AND(H16&gt;0,J16&gt;0),AND(I16&gt;0,J16&gt;0)),"ja","")</f>
        <v/>
      </c>
      <c r="AD16" s="977"/>
      <c r="AE16" s="977"/>
      <c r="AF16" s="977"/>
      <c r="AG16" s="978"/>
      <c r="AH16" s="978"/>
      <c r="AI16" s="978"/>
      <c r="AJ16" s="978"/>
      <c r="AK16" s="44"/>
      <c r="AL16" s="44"/>
      <c r="AM16" s="44"/>
      <c r="AN16" s="44"/>
      <c r="AO16" s="44"/>
      <c r="AP16" s="44"/>
    </row>
    <row r="17" spans="1:42" ht="20.100000000000001" customHeight="1">
      <c r="A17" s="1133" t="s">
        <v>512</v>
      </c>
      <c r="C17" s="282">
        <v>3</v>
      </c>
      <c r="D17" s="859"/>
      <c r="E17" s="860"/>
      <c r="F17" s="991"/>
      <c r="G17" s="991"/>
      <c r="H17" s="800"/>
      <c r="I17" s="801"/>
      <c r="J17" s="802"/>
      <c r="K17" s="299">
        <f t="shared" si="2"/>
        <v>0</v>
      </c>
      <c r="L17" s="300">
        <f t="shared" si="0"/>
        <v>0</v>
      </c>
      <c r="M17" s="862"/>
      <c r="N17" s="804"/>
      <c r="O17" s="301">
        <f>IF(AND(Hilfstabelle!Q5="",Hilfstabelle!R5=""),L17*12+M17*L17+N17*IF(K17&lt;451,L$7,L$6),IF(OR(Hilfstabelle!Q5="",Hilfstabelle!R5="",Hilfstabelle!Q5=0,Hilfstabelle!R5=0,Hilfstabelle!Q5&gt;Hilfstabelle!R5),0,L17*(Hilfstabelle!R5-Hilfstabelle!Q5+1)+L17*M17+N17*IF(K17&lt;451,L$7,L$6)))</f>
        <v>0</v>
      </c>
      <c r="P17" s="302">
        <f>$E17*(IF(Hilfstabelle!$Q5="",1,IF(Hilfstabelle!$Q5="bis",Hilfstabelle!$R5/12,IF(Hilfstabelle!$Q5="ab",(12-Hilfstabelle!$R5+1)/12,((Hilfstabelle!R5+1)-Hilfstabelle!Q5)/12))))</f>
        <v>0</v>
      </c>
      <c r="Q17" s="864"/>
      <c r="R17" s="303">
        <f t="shared" si="1"/>
        <v>0</v>
      </c>
      <c r="S17" s="262" t="str">
        <f t="shared" si="3"/>
        <v/>
      </c>
      <c r="T17" s="262"/>
      <c r="U17" s="261"/>
      <c r="V17" s="261"/>
      <c r="W17" s="261"/>
      <c r="X17" s="781"/>
      <c r="Y17" s="976"/>
      <c r="Z17" s="976" t="str">
        <f t="shared" si="4"/>
        <v/>
      </c>
      <c r="AA17" s="976"/>
      <c r="AB17" s="780" t="str">
        <f>IF(AND(Hilfstabelle!$Q5="",Hilfstabelle!$R5=""),"",IF(OR(Hilfstabelle!$Q5="",Hilfstabelle!$R5="",Hilfstabelle!$Q5=0,Hilfstabelle!$R5=0,Hilfstabelle!$Q5&gt;Hilfstabelle!$R5),"ja",""))</f>
        <v/>
      </c>
      <c r="AC17" s="979" t="str">
        <f t="shared" si="5"/>
        <v/>
      </c>
      <c r="AD17" s="977"/>
      <c r="AE17" s="977"/>
      <c r="AF17" s="977"/>
      <c r="AG17" s="978"/>
      <c r="AH17" s="978"/>
      <c r="AI17" s="978"/>
      <c r="AJ17" s="978"/>
      <c r="AK17" s="44"/>
      <c r="AL17" s="44"/>
      <c r="AM17" s="44"/>
      <c r="AN17" s="44"/>
      <c r="AO17" s="44"/>
      <c r="AP17" s="44"/>
    </row>
    <row r="18" spans="1:42" ht="20.100000000000001" customHeight="1">
      <c r="A18" s="1134"/>
      <c r="C18" s="282">
        <v>4</v>
      </c>
      <c r="D18" s="861"/>
      <c r="E18" s="860"/>
      <c r="F18" s="991"/>
      <c r="G18" s="991"/>
      <c r="H18" s="800"/>
      <c r="I18" s="801"/>
      <c r="J18" s="802"/>
      <c r="K18" s="299">
        <f t="shared" si="2"/>
        <v>0</v>
      </c>
      <c r="L18" s="300">
        <f t="shared" si="0"/>
        <v>0</v>
      </c>
      <c r="M18" s="862"/>
      <c r="N18" s="804"/>
      <c r="O18" s="301">
        <f>IF(AND(Hilfstabelle!Q6="",Hilfstabelle!R6=""),L18*12+M18*L18+N18*IF(K18&lt;451,L$7,L$6),IF(OR(Hilfstabelle!Q6="",Hilfstabelle!R6="",Hilfstabelle!Q6=0,Hilfstabelle!R6=0,Hilfstabelle!Q6&gt;Hilfstabelle!R6),0,L18*(Hilfstabelle!R6-Hilfstabelle!Q6+1)+L18*M18+N18*IF(K18&lt;451,L$7,L$6)))</f>
        <v>0</v>
      </c>
      <c r="P18" s="302">
        <f>$E18*(IF(Hilfstabelle!$Q6="",1,IF(Hilfstabelle!$Q6="bis",Hilfstabelle!$R6/12,IF(Hilfstabelle!$Q6="ab",(12-Hilfstabelle!$R6+1)/12,((Hilfstabelle!R6+1)-Hilfstabelle!Q6)/12))))</f>
        <v>0</v>
      </c>
      <c r="Q18" s="864"/>
      <c r="R18" s="303">
        <f t="shared" si="1"/>
        <v>0</v>
      </c>
      <c r="S18" s="262" t="str">
        <f t="shared" si="3"/>
        <v/>
      </c>
      <c r="T18" s="262"/>
      <c r="U18" s="261"/>
      <c r="V18" s="261"/>
      <c r="W18" s="261"/>
      <c r="X18" s="781"/>
      <c r="Y18" s="976"/>
      <c r="Z18" s="976" t="str">
        <f t="shared" si="4"/>
        <v/>
      </c>
      <c r="AA18" s="976"/>
      <c r="AB18" s="780" t="str">
        <f>IF(AND(Hilfstabelle!$Q6="",Hilfstabelle!$R6=""),"",IF(OR(Hilfstabelle!$Q6="",Hilfstabelle!$R6="",Hilfstabelle!$Q6=0,Hilfstabelle!$R6=0,Hilfstabelle!$Q6&gt;Hilfstabelle!$R6),"ja",""))</f>
        <v/>
      </c>
      <c r="AC18" s="979" t="str">
        <f t="shared" si="5"/>
        <v/>
      </c>
      <c r="AD18" s="977"/>
      <c r="AE18" s="977"/>
      <c r="AF18" s="977"/>
      <c r="AG18" s="978"/>
      <c r="AH18" s="978"/>
      <c r="AI18" s="978"/>
      <c r="AJ18" s="978"/>
      <c r="AK18" s="44"/>
      <c r="AL18" s="44"/>
      <c r="AM18" s="44"/>
      <c r="AN18" s="44"/>
      <c r="AO18" s="44"/>
      <c r="AP18" s="44"/>
    </row>
    <row r="19" spans="1:42" ht="20.100000000000001" customHeight="1">
      <c r="A19" s="1134"/>
      <c r="C19" s="282">
        <v>5</v>
      </c>
      <c r="D19" s="861"/>
      <c r="E19" s="860"/>
      <c r="F19" s="991"/>
      <c r="G19" s="991"/>
      <c r="H19" s="800"/>
      <c r="I19" s="801"/>
      <c r="J19" s="802"/>
      <c r="K19" s="299">
        <f t="shared" si="2"/>
        <v>0</v>
      </c>
      <c r="L19" s="300">
        <f t="shared" si="0"/>
        <v>0</v>
      </c>
      <c r="M19" s="862"/>
      <c r="N19" s="804"/>
      <c r="O19" s="301">
        <f>IF(AND(Hilfstabelle!Q7="",Hilfstabelle!R7=""),L19*12+M19*L19+N19*IF(K19&lt;451,L$7,L$6),IF(OR(Hilfstabelle!Q7="",Hilfstabelle!R7="",Hilfstabelle!Q7=0,Hilfstabelle!R7=0,Hilfstabelle!Q7&gt;Hilfstabelle!R7),0,L19*(Hilfstabelle!R7-Hilfstabelle!Q7+1)+L19*M19+N19*IF(K19&lt;451,L$7,L$6)))</f>
        <v>0</v>
      </c>
      <c r="P19" s="302">
        <f>$E19*(IF(Hilfstabelle!$Q7="",1,IF(Hilfstabelle!$Q7="bis",Hilfstabelle!$R7/12,IF(Hilfstabelle!$Q7="ab",(12-Hilfstabelle!$R7+1)/12,((Hilfstabelle!R7+1)-Hilfstabelle!Q7)/12))))</f>
        <v>0</v>
      </c>
      <c r="Q19" s="864"/>
      <c r="R19" s="303">
        <f t="shared" si="1"/>
        <v>0</v>
      </c>
      <c r="S19" s="262" t="str">
        <f t="shared" si="3"/>
        <v/>
      </c>
      <c r="T19" s="262"/>
      <c r="U19" s="261"/>
      <c r="V19" s="261"/>
      <c r="W19" s="261"/>
      <c r="X19" s="781"/>
      <c r="Y19" s="976"/>
      <c r="Z19" s="976" t="str">
        <f t="shared" si="4"/>
        <v/>
      </c>
      <c r="AA19" s="976"/>
      <c r="AB19" s="780" t="str">
        <f>IF(AND(Hilfstabelle!$Q7="",Hilfstabelle!$R7=""),"",IF(OR(Hilfstabelle!$Q7="",Hilfstabelle!$R7="",Hilfstabelle!$Q7=0,Hilfstabelle!$R7=0,Hilfstabelle!$Q7&gt;Hilfstabelle!$R7),"ja",""))</f>
        <v/>
      </c>
      <c r="AC19" s="979" t="str">
        <f t="shared" si="5"/>
        <v/>
      </c>
      <c r="AD19" s="977"/>
      <c r="AE19" s="977"/>
      <c r="AF19" s="977"/>
      <c r="AG19" s="978"/>
      <c r="AH19" s="978"/>
      <c r="AI19" s="978"/>
      <c r="AJ19" s="978"/>
      <c r="AK19" s="44"/>
      <c r="AL19" s="44"/>
      <c r="AM19" s="44"/>
      <c r="AN19" s="44"/>
      <c r="AO19" s="44"/>
      <c r="AP19" s="44"/>
    </row>
    <row r="20" spans="1:42" ht="20.100000000000001" customHeight="1">
      <c r="A20" s="1134"/>
      <c r="C20" s="282">
        <v>6</v>
      </c>
      <c r="D20" s="861"/>
      <c r="E20" s="860"/>
      <c r="F20" s="991"/>
      <c r="G20" s="991"/>
      <c r="H20" s="800"/>
      <c r="I20" s="801"/>
      <c r="J20" s="802"/>
      <c r="K20" s="299">
        <f t="shared" si="2"/>
        <v>0</v>
      </c>
      <c r="L20" s="300">
        <f t="shared" si="0"/>
        <v>0</v>
      </c>
      <c r="M20" s="862"/>
      <c r="N20" s="804"/>
      <c r="O20" s="301">
        <f>IF(AND(Hilfstabelle!Q8="",Hilfstabelle!R8=""),L20*12+M20*L20+N20*IF(K20&lt;451,L$7,L$6),IF(OR(Hilfstabelle!Q8="",Hilfstabelle!R8="",Hilfstabelle!Q8=0,Hilfstabelle!R8=0,Hilfstabelle!Q8&gt;Hilfstabelle!R8),0,L20*(Hilfstabelle!R8-Hilfstabelle!Q8+1)+L20*M20+N20*IF(K20&lt;451,L$7,L$6)))</f>
        <v>0</v>
      </c>
      <c r="P20" s="302">
        <f>$E20*(IF(Hilfstabelle!$Q8="",1,IF(Hilfstabelle!$Q8="bis",Hilfstabelle!$R8/12,IF(Hilfstabelle!$Q8="ab",(12-Hilfstabelle!$R8+1)/12,((Hilfstabelle!R8+1)-Hilfstabelle!Q8)/12))))</f>
        <v>0</v>
      </c>
      <c r="Q20" s="864"/>
      <c r="R20" s="303">
        <f t="shared" si="1"/>
        <v>0</v>
      </c>
      <c r="S20" s="262" t="str">
        <f t="shared" si="3"/>
        <v/>
      </c>
      <c r="T20" s="262"/>
      <c r="U20" s="261"/>
      <c r="V20" s="261"/>
      <c r="W20" s="261"/>
      <c r="X20" s="781"/>
      <c r="Y20" s="976"/>
      <c r="Z20" s="976" t="str">
        <f t="shared" si="4"/>
        <v/>
      </c>
      <c r="AA20" s="976"/>
      <c r="AB20" s="780" t="str">
        <f>IF(AND(Hilfstabelle!$Q8="",Hilfstabelle!$R8=""),"",IF(OR(Hilfstabelle!$Q8="",Hilfstabelle!$R8="",Hilfstabelle!$Q8=0,Hilfstabelle!$R8=0,Hilfstabelle!$Q8&gt;Hilfstabelle!$R8),"ja",""))</f>
        <v/>
      </c>
      <c r="AC20" s="979" t="str">
        <f t="shared" si="5"/>
        <v/>
      </c>
      <c r="AD20" s="977"/>
      <c r="AE20" s="977"/>
      <c r="AF20" s="977"/>
      <c r="AG20" s="978"/>
      <c r="AH20" s="978"/>
      <c r="AI20" s="978"/>
      <c r="AJ20" s="978"/>
      <c r="AK20" s="44"/>
      <c r="AL20" s="44"/>
      <c r="AM20" s="44"/>
      <c r="AN20" s="44"/>
      <c r="AO20" s="44"/>
      <c r="AP20" s="44"/>
    </row>
    <row r="21" spans="1:42" ht="20.100000000000001" customHeight="1">
      <c r="A21" s="1135"/>
      <c r="C21" s="282">
        <v>7</v>
      </c>
      <c r="D21" s="861"/>
      <c r="E21" s="860"/>
      <c r="F21" s="991"/>
      <c r="G21" s="991"/>
      <c r="H21" s="800"/>
      <c r="I21" s="801"/>
      <c r="J21" s="802"/>
      <c r="K21" s="299">
        <f t="shared" si="2"/>
        <v>0</v>
      </c>
      <c r="L21" s="300">
        <f t="shared" si="0"/>
        <v>0</v>
      </c>
      <c r="M21" s="862"/>
      <c r="N21" s="804"/>
      <c r="O21" s="301">
        <f>IF(AND(Hilfstabelle!Q9="",Hilfstabelle!R9=""),L21*12+M21*L21+N21*IF(K21&lt;451,L$7,L$6),IF(OR(Hilfstabelle!Q9="",Hilfstabelle!R9="",Hilfstabelle!Q9=0,Hilfstabelle!R9=0,Hilfstabelle!Q9&gt;Hilfstabelle!R9),0,L21*(Hilfstabelle!R9-Hilfstabelle!Q9+1)+L21*M21+N21*IF(K21&lt;451,L$7,L$6)))</f>
        <v>0</v>
      </c>
      <c r="P21" s="302">
        <f>$E21*(IF(Hilfstabelle!$Q9="",1,IF(Hilfstabelle!$Q9="bis",Hilfstabelle!$R9/12,IF(Hilfstabelle!$Q9="ab",(12-Hilfstabelle!$R9+1)/12,((Hilfstabelle!R9+1)-Hilfstabelle!Q9)/12))))</f>
        <v>0</v>
      </c>
      <c r="Q21" s="864"/>
      <c r="R21" s="303">
        <f t="shared" si="1"/>
        <v>0</v>
      </c>
      <c r="S21" s="262" t="str">
        <f t="shared" si="3"/>
        <v/>
      </c>
      <c r="T21" s="262"/>
      <c r="U21" s="261"/>
      <c r="V21" s="261"/>
      <c r="W21" s="261"/>
      <c r="X21" s="781"/>
      <c r="Y21" s="976"/>
      <c r="Z21" s="976" t="str">
        <f t="shared" si="4"/>
        <v/>
      </c>
      <c r="AA21" s="976"/>
      <c r="AB21" s="780" t="str">
        <f>IF(AND(Hilfstabelle!$Q9="",Hilfstabelle!$R9=""),"",IF(OR(Hilfstabelle!$Q9="",Hilfstabelle!$R9="",Hilfstabelle!$Q9=0,Hilfstabelle!$R9=0,Hilfstabelle!$Q9&gt;Hilfstabelle!$R9),"ja",""))</f>
        <v/>
      </c>
      <c r="AC21" s="979" t="str">
        <f t="shared" si="5"/>
        <v/>
      </c>
      <c r="AD21" s="977"/>
      <c r="AE21" s="977"/>
      <c r="AF21" s="977"/>
      <c r="AG21" s="978"/>
      <c r="AH21" s="978"/>
      <c r="AI21" s="978"/>
      <c r="AJ21" s="978"/>
      <c r="AK21" s="44"/>
      <c r="AL21" s="44"/>
      <c r="AM21" s="44"/>
      <c r="AN21" s="44"/>
      <c r="AO21" s="44"/>
      <c r="AP21" s="44"/>
    </row>
    <row r="22" spans="1:42" ht="20.100000000000001" customHeight="1" collapsed="1">
      <c r="A22" s="947"/>
      <c r="C22" s="282">
        <v>8</v>
      </c>
      <c r="D22" s="861"/>
      <c r="E22" s="860"/>
      <c r="F22" s="991"/>
      <c r="G22" s="991"/>
      <c r="H22" s="800"/>
      <c r="I22" s="801"/>
      <c r="J22" s="802"/>
      <c r="K22" s="299">
        <f t="shared" si="2"/>
        <v>0</v>
      </c>
      <c r="L22" s="300">
        <f t="shared" si="0"/>
        <v>0</v>
      </c>
      <c r="M22" s="862"/>
      <c r="N22" s="804"/>
      <c r="O22" s="301">
        <f>IF(AND(Hilfstabelle!Q10="",Hilfstabelle!R10=""),L22*12+M22*L22+N22*IF(K22&lt;451,L$7,L$6),IF(OR(Hilfstabelle!Q10="",Hilfstabelle!R10="",Hilfstabelle!Q10=0,Hilfstabelle!R10=0,Hilfstabelle!Q10&gt;Hilfstabelle!R10),0,L22*(Hilfstabelle!R10-Hilfstabelle!Q10+1)+L22*M22+N22*IF(K22&lt;451,L$7,L$6)))</f>
        <v>0</v>
      </c>
      <c r="P22" s="302">
        <f>$E22*(IF(Hilfstabelle!$Q10="",1,IF(Hilfstabelle!$Q10="bis",Hilfstabelle!$R10/12,IF(Hilfstabelle!$Q10="ab",(12-Hilfstabelle!$R10+1)/12,((Hilfstabelle!R10+1)-Hilfstabelle!Q10)/12))))</f>
        <v>0</v>
      </c>
      <c r="Q22" s="864"/>
      <c r="R22" s="303">
        <f t="shared" si="1"/>
        <v>0</v>
      </c>
      <c r="S22" s="262" t="str">
        <f t="shared" si="3"/>
        <v/>
      </c>
      <c r="T22" s="262"/>
      <c r="U22" s="261"/>
      <c r="V22" s="261"/>
      <c r="W22" s="261"/>
      <c r="X22" s="781"/>
      <c r="Y22" s="976"/>
      <c r="Z22" s="976" t="str">
        <f t="shared" si="4"/>
        <v/>
      </c>
      <c r="AA22" s="976"/>
      <c r="AB22" s="780" t="str">
        <f>IF(AND(Hilfstabelle!$Q10="",Hilfstabelle!$R10=""),"",IF(OR(Hilfstabelle!$Q10="",Hilfstabelle!$R10="",Hilfstabelle!$Q10=0,Hilfstabelle!$R10=0,Hilfstabelle!$Q10&gt;Hilfstabelle!$R10),"ja",""))</f>
        <v/>
      </c>
      <c r="AC22" s="979" t="str">
        <f t="shared" si="5"/>
        <v/>
      </c>
      <c r="AD22" s="977"/>
      <c r="AE22" s="977"/>
      <c r="AF22" s="977"/>
      <c r="AG22" s="978"/>
      <c r="AH22" s="978"/>
      <c r="AI22" s="978"/>
      <c r="AJ22" s="978"/>
      <c r="AK22" s="44"/>
      <c r="AL22" s="44"/>
      <c r="AM22" s="44"/>
      <c r="AN22" s="44"/>
      <c r="AO22" s="44"/>
      <c r="AP22" s="44"/>
    </row>
    <row r="23" spans="1:42" ht="20.100000000000001" hidden="1" customHeight="1" outlineLevel="1">
      <c r="A23" s="947"/>
      <c r="C23" s="282">
        <v>9</v>
      </c>
      <c r="D23" s="861"/>
      <c r="E23" s="860"/>
      <c r="F23" s="991"/>
      <c r="G23" s="991"/>
      <c r="H23" s="800"/>
      <c r="I23" s="801"/>
      <c r="J23" s="802"/>
      <c r="K23" s="299">
        <f t="shared" si="2"/>
        <v>0</v>
      </c>
      <c r="L23" s="300">
        <f t="shared" ref="L23:L34" si="6">IF(E23=0,0,(IF(K23/E23&lt;539,K23*L$7,K23*L$6)))</f>
        <v>0</v>
      </c>
      <c r="M23" s="862"/>
      <c r="N23" s="804"/>
      <c r="O23" s="301">
        <f>IF(AND(Hilfstabelle!Q11="",Hilfstabelle!R11=""),L23*12+M23*L23+N23*IF(K23&lt;451,L$7,L$6),IF(OR(Hilfstabelle!Q11="",Hilfstabelle!R11="",Hilfstabelle!Q11=0,Hilfstabelle!R11=0,Hilfstabelle!Q11&gt;Hilfstabelle!R11),0,L23*(Hilfstabelle!R11-Hilfstabelle!Q11+1)+L23*M23+N23*IF(K23&lt;451,L$7,L$6)))</f>
        <v>0</v>
      </c>
      <c r="P23" s="302">
        <f>$E23*(IF(Hilfstabelle!$Q11="",1,IF(Hilfstabelle!$Q11="bis",Hilfstabelle!$R11/12,IF(Hilfstabelle!$Q11="ab",(12-Hilfstabelle!$R11+1)/12,((Hilfstabelle!R11+1)-Hilfstabelle!Q11)/12))))</f>
        <v>0</v>
      </c>
      <c r="Q23" s="864"/>
      <c r="R23" s="303">
        <f t="shared" si="1"/>
        <v>0</v>
      </c>
      <c r="S23" s="262" t="str">
        <f t="shared" si="3"/>
        <v/>
      </c>
      <c r="T23" s="262"/>
      <c r="U23" s="261"/>
      <c r="V23" s="261"/>
      <c r="W23" s="261"/>
      <c r="X23" s="781"/>
      <c r="Y23" s="976"/>
      <c r="Z23" s="976" t="str">
        <f t="shared" si="4"/>
        <v/>
      </c>
      <c r="AA23" s="976"/>
      <c r="AB23" s="780" t="str">
        <f>IF(AND(Hilfstabelle!$Q11="",Hilfstabelle!$R11=""),"",IF(OR(Hilfstabelle!$Q11="",Hilfstabelle!$R11="",Hilfstabelle!$Q11=0,Hilfstabelle!$R11=0,Hilfstabelle!$Q11&gt;Hilfstabelle!$R11),"ja",""))</f>
        <v/>
      </c>
      <c r="AC23" s="979" t="str">
        <f t="shared" si="5"/>
        <v/>
      </c>
      <c r="AD23" s="977"/>
      <c r="AE23" s="977"/>
      <c r="AF23" s="977"/>
      <c r="AG23" s="978"/>
      <c r="AH23" s="978"/>
      <c r="AI23" s="978"/>
      <c r="AJ23" s="978"/>
      <c r="AK23" s="44"/>
      <c r="AL23" s="44"/>
      <c r="AM23" s="44"/>
      <c r="AN23" s="44"/>
      <c r="AO23" s="44"/>
      <c r="AP23" s="44"/>
    </row>
    <row r="24" spans="1:42" ht="20.100000000000001" hidden="1" customHeight="1" outlineLevel="1">
      <c r="A24" s="1133" t="s">
        <v>511</v>
      </c>
      <c r="C24" s="282">
        <v>10</v>
      </c>
      <c r="D24" s="861"/>
      <c r="E24" s="860"/>
      <c r="F24" s="991"/>
      <c r="G24" s="991"/>
      <c r="H24" s="800"/>
      <c r="I24" s="801"/>
      <c r="J24" s="802"/>
      <c r="K24" s="299">
        <f t="shared" si="2"/>
        <v>0</v>
      </c>
      <c r="L24" s="300">
        <f t="shared" si="6"/>
        <v>0</v>
      </c>
      <c r="M24" s="862"/>
      <c r="N24" s="804"/>
      <c r="O24" s="301">
        <f>IF(AND(Hilfstabelle!Q12="",Hilfstabelle!R12=""),L24*12+M24*L24+N24*IF(K24&lt;451,L$7,L$6),IF(OR(Hilfstabelle!Q12="",Hilfstabelle!R12="",Hilfstabelle!Q12=0,Hilfstabelle!R12=0,Hilfstabelle!Q12&gt;Hilfstabelle!R12),0,L24*(Hilfstabelle!R12-Hilfstabelle!Q12+1)+L24*M24+N24*IF(K24&lt;451,L$7,L$6)))</f>
        <v>0</v>
      </c>
      <c r="P24" s="302">
        <f>$E24*(IF(Hilfstabelle!$Q12="",1,IF(Hilfstabelle!$Q12="bis",Hilfstabelle!$R12/12,IF(Hilfstabelle!$Q12="ab",(12-Hilfstabelle!$R12+1)/12,((Hilfstabelle!R12+1)-Hilfstabelle!Q12)/12))))</f>
        <v>0</v>
      </c>
      <c r="Q24" s="864"/>
      <c r="R24" s="303">
        <f t="shared" si="1"/>
        <v>0</v>
      </c>
      <c r="S24" s="262" t="str">
        <f t="shared" si="3"/>
        <v/>
      </c>
      <c r="T24" s="262"/>
      <c r="U24" s="261"/>
      <c r="V24" s="261"/>
      <c r="W24" s="261"/>
      <c r="X24" s="781"/>
      <c r="Y24" s="976"/>
      <c r="Z24" s="976" t="str">
        <f t="shared" si="4"/>
        <v/>
      </c>
      <c r="AA24" s="976"/>
      <c r="AB24" s="780" t="str">
        <f>IF(AND(Hilfstabelle!$Q12="",Hilfstabelle!$R12=""),"",IF(OR(Hilfstabelle!$Q12="",Hilfstabelle!$R12="",Hilfstabelle!$Q12=0,Hilfstabelle!$R12=0,Hilfstabelle!$Q12&gt;Hilfstabelle!$R12),"ja",""))</f>
        <v/>
      </c>
      <c r="AC24" s="979" t="str">
        <f t="shared" si="5"/>
        <v/>
      </c>
      <c r="AD24" s="977"/>
      <c r="AE24" s="977"/>
      <c r="AF24" s="977"/>
      <c r="AG24" s="978"/>
      <c r="AH24" s="978"/>
      <c r="AI24" s="978"/>
      <c r="AJ24" s="978"/>
      <c r="AK24" s="44"/>
      <c r="AL24" s="44"/>
      <c r="AM24" s="44"/>
      <c r="AN24" s="44"/>
      <c r="AO24" s="44"/>
      <c r="AP24" s="44"/>
    </row>
    <row r="25" spans="1:42" ht="20.100000000000001" hidden="1" customHeight="1" outlineLevel="1">
      <c r="A25" s="1134"/>
      <c r="C25" s="282">
        <v>11</v>
      </c>
      <c r="D25" s="861"/>
      <c r="E25" s="860"/>
      <c r="F25" s="991"/>
      <c r="G25" s="991"/>
      <c r="H25" s="800"/>
      <c r="I25" s="801"/>
      <c r="J25" s="802"/>
      <c r="K25" s="299">
        <f t="shared" si="2"/>
        <v>0</v>
      </c>
      <c r="L25" s="300">
        <f t="shared" si="6"/>
        <v>0</v>
      </c>
      <c r="M25" s="862"/>
      <c r="N25" s="804"/>
      <c r="O25" s="301">
        <f>IF(AND(Hilfstabelle!Q13="",Hilfstabelle!R13=""),L25*12+M25*L25+N25*IF(K25&lt;451,L$7,L$6),IF(OR(Hilfstabelle!Q13="",Hilfstabelle!R13="",Hilfstabelle!Q13=0,Hilfstabelle!R13=0,Hilfstabelle!Q13&gt;Hilfstabelle!R13),0,L25*(Hilfstabelle!R13-Hilfstabelle!Q13+1)+L25*M25+N25*IF(K25&lt;451,L$7,L$6)))</f>
        <v>0</v>
      </c>
      <c r="P25" s="302">
        <f>$E25*(IF(Hilfstabelle!$Q13="",1,IF(Hilfstabelle!$Q13="bis",Hilfstabelle!$R13/12,IF(Hilfstabelle!$Q13="ab",(12-Hilfstabelle!$R13+1)/12,((Hilfstabelle!R13+1)-Hilfstabelle!Q13)/12))))</f>
        <v>0</v>
      </c>
      <c r="Q25" s="864"/>
      <c r="R25" s="303">
        <f t="shared" si="1"/>
        <v>0</v>
      </c>
      <c r="S25" s="262" t="str">
        <f t="shared" si="3"/>
        <v/>
      </c>
      <c r="T25" s="262"/>
      <c r="U25" s="261"/>
      <c r="V25" s="261"/>
      <c r="W25" s="261"/>
      <c r="X25" s="781"/>
      <c r="Y25" s="976"/>
      <c r="Z25" s="976" t="str">
        <f t="shared" si="4"/>
        <v/>
      </c>
      <c r="AA25" s="976"/>
      <c r="AB25" s="780" t="str">
        <f>IF(AND(Hilfstabelle!$Q13="",Hilfstabelle!$R13=""),"",IF(OR(Hilfstabelle!$Q13="",Hilfstabelle!$R13="",Hilfstabelle!$Q13=0,Hilfstabelle!$R13=0,Hilfstabelle!$Q13&gt;Hilfstabelle!$R13),"ja",""))</f>
        <v/>
      </c>
      <c r="AC25" s="979" t="str">
        <f t="shared" si="5"/>
        <v/>
      </c>
      <c r="AD25" s="977"/>
      <c r="AE25" s="977"/>
      <c r="AF25" s="977"/>
      <c r="AG25" s="978"/>
      <c r="AH25" s="978"/>
      <c r="AI25" s="978"/>
      <c r="AJ25" s="978"/>
      <c r="AK25" s="44"/>
      <c r="AL25" s="44"/>
      <c r="AM25" s="44"/>
      <c r="AN25" s="44"/>
      <c r="AO25" s="44"/>
      <c r="AP25" s="44"/>
    </row>
    <row r="26" spans="1:42" ht="20.100000000000001" hidden="1" customHeight="1" outlineLevel="1">
      <c r="A26" s="1134"/>
      <c r="C26" s="282">
        <v>12</v>
      </c>
      <c r="D26" s="861"/>
      <c r="E26" s="860"/>
      <c r="F26" s="991"/>
      <c r="G26" s="991"/>
      <c r="H26" s="800"/>
      <c r="I26" s="801"/>
      <c r="J26" s="802"/>
      <c r="K26" s="299">
        <f t="shared" si="2"/>
        <v>0</v>
      </c>
      <c r="L26" s="300">
        <f t="shared" si="6"/>
        <v>0</v>
      </c>
      <c r="M26" s="862"/>
      <c r="N26" s="804"/>
      <c r="O26" s="301">
        <f>IF(AND(Hilfstabelle!Q14="",Hilfstabelle!R14=""),L26*12+M26*L26+N26*IF(K26&lt;451,L$7,L$6),IF(OR(Hilfstabelle!Q14="",Hilfstabelle!R14="",Hilfstabelle!Q14=0,Hilfstabelle!R14=0,Hilfstabelle!Q14&gt;Hilfstabelle!R14),0,L26*(Hilfstabelle!R14-Hilfstabelle!Q14+1)+L26*M26+N26*IF(K26&lt;451,L$7,L$6)))</f>
        <v>0</v>
      </c>
      <c r="P26" s="302">
        <f>$E26*(IF(Hilfstabelle!$Q14="",1,IF(Hilfstabelle!$Q14="bis",Hilfstabelle!$R14/12,IF(Hilfstabelle!$Q14="ab",(12-Hilfstabelle!$R14+1)/12,((Hilfstabelle!R14+1)-Hilfstabelle!Q14)/12))))</f>
        <v>0</v>
      </c>
      <c r="Q26" s="864"/>
      <c r="R26" s="303">
        <f t="shared" si="1"/>
        <v>0</v>
      </c>
      <c r="S26" s="262" t="str">
        <f t="shared" si="3"/>
        <v/>
      </c>
      <c r="T26" s="262"/>
      <c r="U26" s="261"/>
      <c r="V26" s="261"/>
      <c r="W26" s="261"/>
      <c r="X26" s="781"/>
      <c r="Y26" s="976"/>
      <c r="Z26" s="976" t="str">
        <f t="shared" si="4"/>
        <v/>
      </c>
      <c r="AA26" s="976"/>
      <c r="AB26" s="780" t="str">
        <f>IF(AND(Hilfstabelle!$Q14="",Hilfstabelle!$R14=""),"",IF(OR(Hilfstabelle!$Q14="",Hilfstabelle!$R14="",Hilfstabelle!$Q14=0,Hilfstabelle!$R14=0,Hilfstabelle!$Q14&gt;Hilfstabelle!$R14),"ja",""))</f>
        <v/>
      </c>
      <c r="AC26" s="979" t="str">
        <f t="shared" si="5"/>
        <v/>
      </c>
      <c r="AD26" s="977"/>
      <c r="AE26" s="977"/>
      <c r="AF26" s="977"/>
      <c r="AG26" s="978"/>
      <c r="AH26" s="978"/>
      <c r="AI26" s="978"/>
      <c r="AJ26" s="978"/>
      <c r="AK26" s="44"/>
      <c r="AL26" s="44"/>
      <c r="AM26" s="44"/>
      <c r="AN26" s="44"/>
      <c r="AO26" s="44"/>
      <c r="AP26" s="44"/>
    </row>
    <row r="27" spans="1:42" ht="20.100000000000001" hidden="1" customHeight="1" outlineLevel="1">
      <c r="A27" s="1134"/>
      <c r="C27" s="282">
        <v>13</v>
      </c>
      <c r="D27" s="861"/>
      <c r="E27" s="860"/>
      <c r="F27" s="991"/>
      <c r="G27" s="991"/>
      <c r="H27" s="803"/>
      <c r="I27" s="802"/>
      <c r="J27" s="802"/>
      <c r="K27" s="299">
        <f t="shared" si="2"/>
        <v>0</v>
      </c>
      <c r="L27" s="300">
        <f t="shared" si="6"/>
        <v>0</v>
      </c>
      <c r="M27" s="862"/>
      <c r="N27" s="804"/>
      <c r="O27" s="301">
        <f>IF(AND(Hilfstabelle!Q15="",Hilfstabelle!R15=""),L27*12+M27*L27+N27*IF(K27&lt;451,L$7,L$6),IF(OR(Hilfstabelle!Q15="",Hilfstabelle!R15="",Hilfstabelle!Q15=0,Hilfstabelle!R15=0,Hilfstabelle!Q15&gt;Hilfstabelle!R15),0,L27*(Hilfstabelle!R15-Hilfstabelle!Q15+1)+L27*M27+N27*IF(K27&lt;451,L$7,L$6)))</f>
        <v>0</v>
      </c>
      <c r="P27" s="302">
        <f>$E27*(IF(Hilfstabelle!$Q15="",1,IF(Hilfstabelle!$Q15="bis",Hilfstabelle!$R15/12,IF(Hilfstabelle!$Q15="ab",(12-Hilfstabelle!$R15+1)/12,((Hilfstabelle!R15+1)-Hilfstabelle!Q15)/12))))</f>
        <v>0</v>
      </c>
      <c r="Q27" s="864"/>
      <c r="R27" s="303">
        <f t="shared" si="1"/>
        <v>0</v>
      </c>
      <c r="S27" s="262" t="str">
        <f t="shared" si="3"/>
        <v/>
      </c>
      <c r="T27" s="262"/>
      <c r="U27" s="261"/>
      <c r="V27" s="261"/>
      <c r="W27" s="261"/>
      <c r="X27" s="781"/>
      <c r="Y27" s="976"/>
      <c r="Z27" s="976" t="str">
        <f t="shared" si="4"/>
        <v/>
      </c>
      <c r="AA27" s="976"/>
      <c r="AB27" s="780" t="str">
        <f>IF(AND(Hilfstabelle!$Q15="",Hilfstabelle!$R15=""),"",IF(OR(Hilfstabelle!$Q15="",Hilfstabelle!$R15="",Hilfstabelle!$Q15=0,Hilfstabelle!$R15=0,Hilfstabelle!$Q15&gt;Hilfstabelle!$R15),"ja",""))</f>
        <v/>
      </c>
      <c r="AC27" s="979" t="str">
        <f t="shared" si="5"/>
        <v/>
      </c>
      <c r="AD27" s="977"/>
      <c r="AE27" s="977"/>
      <c r="AF27" s="977"/>
      <c r="AG27" s="978"/>
      <c r="AH27" s="978"/>
      <c r="AI27" s="978"/>
      <c r="AJ27" s="978"/>
      <c r="AK27" s="44"/>
      <c r="AL27" s="44"/>
      <c r="AM27" s="44"/>
      <c r="AN27" s="44"/>
      <c r="AO27" s="44"/>
      <c r="AP27" s="44"/>
    </row>
    <row r="28" spans="1:42" ht="20.100000000000001" hidden="1" customHeight="1" outlineLevel="1">
      <c r="A28" s="1135"/>
      <c r="C28" s="282">
        <v>14</v>
      </c>
      <c r="D28" s="861"/>
      <c r="E28" s="860"/>
      <c r="F28" s="991"/>
      <c r="G28" s="991"/>
      <c r="H28" s="803"/>
      <c r="I28" s="802"/>
      <c r="J28" s="802"/>
      <c r="K28" s="299">
        <f t="shared" si="2"/>
        <v>0</v>
      </c>
      <c r="L28" s="300">
        <f t="shared" si="6"/>
        <v>0</v>
      </c>
      <c r="M28" s="862"/>
      <c r="N28" s="804"/>
      <c r="O28" s="301">
        <f>IF(AND(Hilfstabelle!Q16="",Hilfstabelle!R16=""),L28*12+M28*L28+N28*IF(K28&lt;451,L$7,L$6),IF(OR(Hilfstabelle!Q16="",Hilfstabelle!R16="",Hilfstabelle!Q16=0,Hilfstabelle!R16=0,Hilfstabelle!Q16&gt;Hilfstabelle!R16),0,L28*(Hilfstabelle!R16-Hilfstabelle!Q16+1)+L28*M28+N28*IF(K28&lt;451,L$7,L$6)))</f>
        <v>0</v>
      </c>
      <c r="P28" s="302">
        <f>$E28*(IF(Hilfstabelle!$Q16="",1,IF(Hilfstabelle!$Q16="bis",Hilfstabelle!$R16/12,IF(Hilfstabelle!$Q16="ab",(12-Hilfstabelle!$R16+1)/12,((Hilfstabelle!R16+1)-Hilfstabelle!Q16)/12))))</f>
        <v>0</v>
      </c>
      <c r="Q28" s="864"/>
      <c r="R28" s="303">
        <f t="shared" si="1"/>
        <v>0</v>
      </c>
      <c r="S28" s="262" t="str">
        <f t="shared" si="3"/>
        <v/>
      </c>
      <c r="T28" s="262"/>
      <c r="U28" s="261"/>
      <c r="V28" s="261"/>
      <c r="W28" s="261"/>
      <c r="X28" s="781"/>
      <c r="Y28" s="976"/>
      <c r="Z28" s="976" t="str">
        <f t="shared" si="4"/>
        <v/>
      </c>
      <c r="AA28" s="976"/>
      <c r="AB28" s="780" t="str">
        <f>IF(AND(Hilfstabelle!$Q16="",Hilfstabelle!$R16=""),"",IF(OR(Hilfstabelle!$Q16="",Hilfstabelle!$R16="",Hilfstabelle!$Q16=0,Hilfstabelle!$R16=0,Hilfstabelle!$Q16&gt;Hilfstabelle!$R16),"ja",""))</f>
        <v/>
      </c>
      <c r="AC28" s="979" t="str">
        <f t="shared" si="5"/>
        <v/>
      </c>
      <c r="AD28" s="977"/>
      <c r="AE28" s="977"/>
      <c r="AF28" s="977"/>
      <c r="AG28" s="978"/>
      <c r="AH28" s="978"/>
      <c r="AI28" s="978"/>
      <c r="AJ28" s="978"/>
      <c r="AK28" s="44"/>
      <c r="AL28" s="44"/>
      <c r="AM28" s="44"/>
      <c r="AN28" s="44"/>
      <c r="AO28" s="44"/>
      <c r="AP28" s="44"/>
    </row>
    <row r="29" spans="1:42" ht="20.100000000000001" hidden="1" customHeight="1" outlineLevel="1">
      <c r="A29" s="947"/>
      <c r="C29" s="282">
        <v>15</v>
      </c>
      <c r="D29" s="861"/>
      <c r="E29" s="860"/>
      <c r="F29" s="991"/>
      <c r="G29" s="991"/>
      <c r="H29" s="803"/>
      <c r="I29" s="802"/>
      <c r="J29" s="802"/>
      <c r="K29" s="299">
        <f t="shared" si="2"/>
        <v>0</v>
      </c>
      <c r="L29" s="300">
        <f t="shared" si="6"/>
        <v>0</v>
      </c>
      <c r="M29" s="862"/>
      <c r="N29" s="804"/>
      <c r="O29" s="301">
        <f>IF(AND(Hilfstabelle!Q17="",Hilfstabelle!R17=""),L29*12+M29*L29+N29*IF(K29&lt;451,L$7,L$6),IF(OR(Hilfstabelle!Q17="",Hilfstabelle!R17="",Hilfstabelle!Q17=0,Hilfstabelle!R17=0,Hilfstabelle!Q17&gt;Hilfstabelle!R17),0,L29*(Hilfstabelle!R17-Hilfstabelle!Q17+1)+L29*M29+N29*IF(K29&lt;451,L$7,L$6)))</f>
        <v>0</v>
      </c>
      <c r="P29" s="302">
        <f>$E29*(IF(Hilfstabelle!$Q17="",1,IF(Hilfstabelle!$Q17="bis",Hilfstabelle!$R17/12,IF(Hilfstabelle!$Q17="ab",(12-Hilfstabelle!$R17+1)/12,((Hilfstabelle!R17+1)-Hilfstabelle!Q17)/12))))</f>
        <v>0</v>
      </c>
      <c r="Q29" s="864"/>
      <c r="R29" s="303">
        <f t="shared" si="1"/>
        <v>0</v>
      </c>
      <c r="S29" s="262" t="str">
        <f t="shared" si="3"/>
        <v/>
      </c>
      <c r="T29" s="262"/>
      <c r="U29" s="261"/>
      <c r="V29" s="261"/>
      <c r="W29" s="261"/>
      <c r="X29" s="781"/>
      <c r="Y29" s="976"/>
      <c r="Z29" s="976" t="str">
        <f t="shared" si="4"/>
        <v/>
      </c>
      <c r="AA29" s="976"/>
      <c r="AB29" s="780" t="str">
        <f>IF(AND(Hilfstabelle!$Q17="",Hilfstabelle!$R17=""),"",IF(OR(Hilfstabelle!$Q17="",Hilfstabelle!$R17="",Hilfstabelle!$Q17=0,Hilfstabelle!$R17=0,Hilfstabelle!$Q17&gt;Hilfstabelle!$R17),"ja",""))</f>
        <v/>
      </c>
      <c r="AC29" s="979" t="str">
        <f t="shared" si="5"/>
        <v/>
      </c>
      <c r="AD29" s="977"/>
      <c r="AE29" s="977"/>
      <c r="AF29" s="977"/>
      <c r="AG29" s="978"/>
      <c r="AH29" s="978"/>
      <c r="AI29" s="978"/>
      <c r="AJ29" s="978"/>
      <c r="AK29" s="44"/>
      <c r="AL29" s="44"/>
      <c r="AM29" s="44"/>
      <c r="AN29" s="44"/>
      <c r="AO29" s="44"/>
      <c r="AP29" s="44"/>
    </row>
    <row r="30" spans="1:42" ht="20.100000000000001" hidden="1" customHeight="1" outlineLevel="1">
      <c r="A30" s="947"/>
      <c r="C30" s="282">
        <v>16</v>
      </c>
      <c r="D30" s="861"/>
      <c r="E30" s="860"/>
      <c r="F30" s="991"/>
      <c r="G30" s="991"/>
      <c r="H30" s="803"/>
      <c r="I30" s="802"/>
      <c r="J30" s="802"/>
      <c r="K30" s="299">
        <f t="shared" si="2"/>
        <v>0</v>
      </c>
      <c r="L30" s="300">
        <f t="shared" si="6"/>
        <v>0</v>
      </c>
      <c r="M30" s="862"/>
      <c r="N30" s="804"/>
      <c r="O30" s="301">
        <f>IF(AND(Hilfstabelle!Q18="",Hilfstabelle!R18=""),L30*12+M30*L30+N30*IF(K30&lt;451,L$7,L$6),IF(OR(Hilfstabelle!Q18="",Hilfstabelle!R18="",Hilfstabelle!Q18=0,Hilfstabelle!R18=0,Hilfstabelle!Q18&gt;Hilfstabelle!R18),0,L30*(Hilfstabelle!R18-Hilfstabelle!Q18+1)+L30*M30+N30*IF(K30&lt;451,L$7,L$6)))</f>
        <v>0</v>
      </c>
      <c r="P30" s="302">
        <f>$E30*(IF(Hilfstabelle!$Q18="",1,IF(Hilfstabelle!$Q18="bis",Hilfstabelle!$R18/12,IF(Hilfstabelle!$Q18="ab",(12-Hilfstabelle!$R18+1)/12,((Hilfstabelle!R18+1)-Hilfstabelle!Q18)/12))))</f>
        <v>0</v>
      </c>
      <c r="Q30" s="864"/>
      <c r="R30" s="303">
        <f t="shared" si="1"/>
        <v>0</v>
      </c>
      <c r="S30" s="262" t="str">
        <f t="shared" si="3"/>
        <v/>
      </c>
      <c r="T30" s="262"/>
      <c r="U30" s="261"/>
      <c r="V30" s="261"/>
      <c r="W30" s="261"/>
      <c r="X30" s="781"/>
      <c r="Y30" s="976"/>
      <c r="Z30" s="976" t="str">
        <f t="shared" si="4"/>
        <v/>
      </c>
      <c r="AA30" s="976"/>
      <c r="AB30" s="780" t="str">
        <f>IF(AND(Hilfstabelle!$Q18="",Hilfstabelle!$R18=""),"",IF(OR(Hilfstabelle!$Q18="",Hilfstabelle!$R18="",Hilfstabelle!$Q18=0,Hilfstabelle!$R18=0,Hilfstabelle!$Q18&gt;Hilfstabelle!$R18),"ja",""))</f>
        <v/>
      </c>
      <c r="AC30" s="979" t="str">
        <f t="shared" si="5"/>
        <v/>
      </c>
      <c r="AD30" s="977"/>
      <c r="AE30" s="977"/>
      <c r="AF30" s="977"/>
      <c r="AG30" s="978"/>
      <c r="AH30" s="978"/>
      <c r="AI30" s="978"/>
      <c r="AJ30" s="978"/>
      <c r="AK30" s="44"/>
      <c r="AL30" s="44"/>
      <c r="AM30" s="44"/>
      <c r="AN30" s="44"/>
      <c r="AO30" s="44"/>
      <c r="AP30" s="44"/>
    </row>
    <row r="31" spans="1:42" ht="20.100000000000001" hidden="1" customHeight="1" outlineLevel="1">
      <c r="A31" s="947"/>
      <c r="C31" s="282">
        <v>17</v>
      </c>
      <c r="D31" s="861"/>
      <c r="E31" s="860"/>
      <c r="F31" s="991"/>
      <c r="G31" s="991"/>
      <c r="H31" s="803"/>
      <c r="I31" s="802"/>
      <c r="J31" s="802"/>
      <c r="K31" s="299">
        <f t="shared" si="2"/>
        <v>0</v>
      </c>
      <c r="L31" s="300">
        <f t="shared" si="6"/>
        <v>0</v>
      </c>
      <c r="M31" s="863"/>
      <c r="N31" s="804"/>
      <c r="O31" s="301">
        <f>IF(AND(Hilfstabelle!Q19="",Hilfstabelle!R19=""),L31*12+M31*L31+N31*IF(K31&lt;451,L$7,L$6),IF(OR(Hilfstabelle!Q19="",Hilfstabelle!R19="",Hilfstabelle!Q19=0,Hilfstabelle!R19=0,Hilfstabelle!Q19&gt;Hilfstabelle!R19),0,L31*(Hilfstabelle!R19-Hilfstabelle!Q19+1)+L31*M31+N31*IF(K31&lt;451,L$7,L$6)))</f>
        <v>0</v>
      </c>
      <c r="P31" s="302">
        <f>$E31*(IF(Hilfstabelle!$Q19="",1,IF(Hilfstabelle!$Q19="bis",Hilfstabelle!$R19/12,IF(Hilfstabelle!$Q19="ab",(12-Hilfstabelle!$R19+1)/12,((Hilfstabelle!R19+1)-Hilfstabelle!Q19)/12))))</f>
        <v>0</v>
      </c>
      <c r="Q31" s="864"/>
      <c r="R31" s="303">
        <f t="shared" si="1"/>
        <v>0</v>
      </c>
      <c r="S31" s="262" t="str">
        <f t="shared" si="3"/>
        <v/>
      </c>
      <c r="T31" s="262"/>
      <c r="U31" s="261"/>
      <c r="V31" s="261"/>
      <c r="W31" s="261"/>
      <c r="X31" s="781"/>
      <c r="Y31" s="976"/>
      <c r="Z31" s="976" t="str">
        <f t="shared" si="4"/>
        <v/>
      </c>
      <c r="AA31" s="976"/>
      <c r="AB31" s="780" t="str">
        <f>IF(AND(Hilfstabelle!$Q19="",Hilfstabelle!$R19=""),"",IF(OR(Hilfstabelle!$Q19="",Hilfstabelle!$R19="",Hilfstabelle!$Q19=0,Hilfstabelle!$R19=0,Hilfstabelle!$Q19&gt;Hilfstabelle!$R19),"ja",""))</f>
        <v/>
      </c>
      <c r="AC31" s="979" t="str">
        <f t="shared" si="5"/>
        <v/>
      </c>
      <c r="AD31" s="977"/>
      <c r="AE31" s="977"/>
      <c r="AF31" s="977"/>
      <c r="AG31" s="978"/>
      <c r="AH31" s="978"/>
      <c r="AI31" s="978"/>
      <c r="AJ31" s="978"/>
      <c r="AK31" s="44"/>
      <c r="AL31" s="44"/>
      <c r="AM31" s="44"/>
      <c r="AN31" s="44"/>
      <c r="AO31" s="44"/>
      <c r="AP31" s="44"/>
    </row>
    <row r="32" spans="1:42" ht="20.100000000000001" hidden="1" customHeight="1" outlineLevel="1">
      <c r="A32" s="947"/>
      <c r="C32" s="282">
        <v>18</v>
      </c>
      <c r="D32" s="861"/>
      <c r="E32" s="860"/>
      <c r="F32" s="991"/>
      <c r="G32" s="991"/>
      <c r="H32" s="803"/>
      <c r="I32" s="802"/>
      <c r="J32" s="802"/>
      <c r="K32" s="299">
        <f t="shared" si="2"/>
        <v>0</v>
      </c>
      <c r="L32" s="300">
        <f t="shared" si="6"/>
        <v>0</v>
      </c>
      <c r="M32" s="862"/>
      <c r="N32" s="804"/>
      <c r="O32" s="301">
        <f>IF(AND(Hilfstabelle!Q20="",Hilfstabelle!R20=""),L32*12+M32*L32+N32*IF(K32&lt;451,L$7,L$6),IF(OR(Hilfstabelle!Q20="",Hilfstabelle!R20="",Hilfstabelle!Q20=0,Hilfstabelle!R20=0,Hilfstabelle!Q20&gt;Hilfstabelle!R20),0,L32*(Hilfstabelle!R20-Hilfstabelle!Q20+1)+L32*M32+N32*IF(K32&lt;451,L$7,L$6)))</f>
        <v>0</v>
      </c>
      <c r="P32" s="302">
        <f>$E32*(IF(Hilfstabelle!$Q20="",1,IF(Hilfstabelle!$Q20="bis",Hilfstabelle!$R20/12,IF(Hilfstabelle!$Q20="ab",(12-Hilfstabelle!$R20+1)/12,((Hilfstabelle!R20+1)-Hilfstabelle!Q20)/12))))</f>
        <v>0</v>
      </c>
      <c r="Q32" s="864"/>
      <c r="R32" s="303">
        <f t="shared" si="1"/>
        <v>0</v>
      </c>
      <c r="S32" s="262" t="str">
        <f t="shared" si="3"/>
        <v/>
      </c>
      <c r="T32" s="262"/>
      <c r="U32" s="261"/>
      <c r="V32" s="261"/>
      <c r="W32" s="261"/>
      <c r="X32" s="781"/>
      <c r="Y32" s="976"/>
      <c r="Z32" s="976" t="str">
        <f t="shared" si="4"/>
        <v/>
      </c>
      <c r="AA32" s="976"/>
      <c r="AB32" s="780" t="str">
        <f>IF(AND(Hilfstabelle!$Q20="",Hilfstabelle!$R20=""),"",IF(OR(Hilfstabelle!$Q20="",Hilfstabelle!$R20="",Hilfstabelle!$Q20=0,Hilfstabelle!$R20=0,Hilfstabelle!$Q20&gt;Hilfstabelle!$R20),"ja",""))</f>
        <v/>
      </c>
      <c r="AC32" s="979" t="str">
        <f t="shared" si="5"/>
        <v/>
      </c>
      <c r="AD32" s="977"/>
      <c r="AE32" s="977"/>
      <c r="AF32" s="977"/>
      <c r="AG32" s="978"/>
      <c r="AH32" s="978"/>
      <c r="AI32" s="978"/>
      <c r="AJ32" s="978"/>
      <c r="AK32" s="44"/>
      <c r="AL32" s="44"/>
      <c r="AM32" s="44"/>
      <c r="AN32" s="44"/>
      <c r="AO32" s="44"/>
      <c r="AP32" s="44"/>
    </row>
    <row r="33" spans="1:42" ht="20.100000000000001" hidden="1" customHeight="1" outlineLevel="1">
      <c r="A33" s="947"/>
      <c r="C33" s="282">
        <v>19</v>
      </c>
      <c r="D33" s="861"/>
      <c r="E33" s="860"/>
      <c r="F33" s="991"/>
      <c r="G33" s="991"/>
      <c r="H33" s="803"/>
      <c r="I33" s="802"/>
      <c r="J33" s="802"/>
      <c r="K33" s="299">
        <f t="shared" si="2"/>
        <v>0</v>
      </c>
      <c r="L33" s="300">
        <f t="shared" si="6"/>
        <v>0</v>
      </c>
      <c r="M33" s="862"/>
      <c r="N33" s="804"/>
      <c r="O33" s="301">
        <f>IF(AND(Hilfstabelle!Q21="",Hilfstabelle!R21=""),L33*12+M33*L33+N33*IF(K33&lt;451,L$7,L$6),IF(OR(Hilfstabelle!Q21="",Hilfstabelle!R21="",Hilfstabelle!Q21=0,Hilfstabelle!R21=0,Hilfstabelle!Q21&gt;Hilfstabelle!R21),0,L33*(Hilfstabelle!R21-Hilfstabelle!Q21+1)+L33*M33+N33*IF(K33&lt;451,L$7,L$6)))</f>
        <v>0</v>
      </c>
      <c r="P33" s="302">
        <f>$E33*(IF(Hilfstabelle!$Q21="",1,IF(Hilfstabelle!$Q21="bis",Hilfstabelle!$R21/12,IF(Hilfstabelle!$Q21="ab",(12-Hilfstabelle!$R21+1)/12,((Hilfstabelle!R21+1)-Hilfstabelle!Q21)/12))))</f>
        <v>0</v>
      </c>
      <c r="Q33" s="864"/>
      <c r="R33" s="303">
        <f t="shared" si="1"/>
        <v>0</v>
      </c>
      <c r="S33" s="262" t="str">
        <f t="shared" si="3"/>
        <v/>
      </c>
      <c r="T33" s="262"/>
      <c r="U33" s="261"/>
      <c r="V33" s="261"/>
      <c r="W33" s="261"/>
      <c r="X33" s="781"/>
      <c r="Y33" s="976"/>
      <c r="Z33" s="976" t="str">
        <f t="shared" si="4"/>
        <v/>
      </c>
      <c r="AA33" s="976"/>
      <c r="AB33" s="780" t="str">
        <f>IF(AND(Hilfstabelle!$Q21="",Hilfstabelle!$R21=""),"",IF(OR(Hilfstabelle!$Q21="",Hilfstabelle!$R21="",Hilfstabelle!$Q21=0,Hilfstabelle!$R21=0,Hilfstabelle!$Q21&gt;Hilfstabelle!$R21),"ja",""))</f>
        <v/>
      </c>
      <c r="AC33" s="979" t="str">
        <f t="shared" si="5"/>
        <v/>
      </c>
      <c r="AD33" s="977"/>
      <c r="AE33" s="977"/>
      <c r="AF33" s="977"/>
      <c r="AG33" s="978"/>
      <c r="AH33" s="978"/>
      <c r="AI33" s="978"/>
      <c r="AJ33" s="978"/>
      <c r="AK33" s="44"/>
      <c r="AL33" s="44"/>
      <c r="AM33" s="44"/>
      <c r="AN33" s="44"/>
      <c r="AO33" s="44"/>
      <c r="AP33" s="44"/>
    </row>
    <row r="34" spans="1:42" ht="20.100000000000001" hidden="1" customHeight="1" outlineLevel="1">
      <c r="A34" s="947"/>
      <c r="C34" s="282">
        <v>20</v>
      </c>
      <c r="D34" s="861"/>
      <c r="E34" s="860"/>
      <c r="F34" s="991"/>
      <c r="G34" s="991"/>
      <c r="H34" s="803"/>
      <c r="I34" s="802"/>
      <c r="J34" s="802"/>
      <c r="K34" s="299">
        <f t="shared" si="2"/>
        <v>0</v>
      </c>
      <c r="L34" s="300">
        <f t="shared" si="6"/>
        <v>0</v>
      </c>
      <c r="M34" s="862"/>
      <c r="N34" s="804"/>
      <c r="O34" s="301">
        <f>IF(AND(Hilfstabelle!Q22="",Hilfstabelle!R22=""),L34*12+M34*L34+N34*IF(K34&lt;451,L$7,L$6),IF(OR(Hilfstabelle!Q22="",Hilfstabelle!R22="",Hilfstabelle!Q22=0,Hilfstabelle!R22=0,Hilfstabelle!Q22&gt;Hilfstabelle!R22),0,L34*(Hilfstabelle!R22-Hilfstabelle!Q22+1)+L34*M34+N34*IF(K34&lt;451,L$7,L$6)))</f>
        <v>0</v>
      </c>
      <c r="P34" s="302">
        <f>$E34*(IF(Hilfstabelle!$Q22="",1,IF(Hilfstabelle!$Q22="bis",Hilfstabelle!$R22/12,IF(Hilfstabelle!$Q22="ab",(12-Hilfstabelle!$R22+1)/12,((Hilfstabelle!R22+1)-Hilfstabelle!Q22)/12))))</f>
        <v>0</v>
      </c>
      <c r="Q34" s="864"/>
      <c r="R34" s="303">
        <f t="shared" si="1"/>
        <v>0</v>
      </c>
      <c r="S34" s="262" t="str">
        <f t="shared" si="3"/>
        <v/>
      </c>
      <c r="T34" s="262"/>
      <c r="U34" s="261"/>
      <c r="V34" s="261"/>
      <c r="W34" s="261"/>
      <c r="X34" s="781"/>
      <c r="Y34" s="976"/>
      <c r="Z34" s="976" t="str">
        <f t="shared" si="4"/>
        <v/>
      </c>
      <c r="AA34" s="976"/>
      <c r="AB34" s="780" t="str">
        <f>IF(AND(Hilfstabelle!$Q22="",Hilfstabelle!$R22=""),"",IF(OR(Hilfstabelle!$Q22="",Hilfstabelle!$R22="",Hilfstabelle!$Q22=0,Hilfstabelle!$R22=0,Hilfstabelle!$Q22&gt;Hilfstabelle!$R22),"ja",""))</f>
        <v/>
      </c>
      <c r="AC34" s="979" t="str">
        <f t="shared" si="5"/>
        <v/>
      </c>
      <c r="AD34" s="977"/>
      <c r="AE34" s="977"/>
      <c r="AF34" s="977"/>
      <c r="AG34" s="978"/>
      <c r="AH34" s="978"/>
      <c r="AI34" s="978"/>
      <c r="AJ34" s="978"/>
      <c r="AK34" s="44"/>
      <c r="AL34" s="44"/>
      <c r="AM34" s="44"/>
      <c r="AN34" s="44"/>
      <c r="AO34" s="44"/>
      <c r="AP34" s="44"/>
    </row>
    <row r="35" spans="1:42" ht="20.100000000000001" customHeight="1">
      <c r="A35" s="947"/>
      <c r="C35" s="282">
        <f>IF(SUM(E23:E34)=0,9,21)</f>
        <v>9</v>
      </c>
      <c r="D35" s="304" t="s">
        <v>256</v>
      </c>
      <c r="E35" s="860">
        <v>1</v>
      </c>
      <c r="F35" s="303"/>
      <c r="G35" s="303"/>
      <c r="H35" s="303"/>
      <c r="I35" s="305"/>
      <c r="J35" s="305"/>
      <c r="K35" s="299"/>
      <c r="L35" s="300"/>
      <c r="M35" s="307"/>
      <c r="N35" s="308"/>
      <c r="O35" s="301"/>
      <c r="P35" s="302">
        <f>$E35*(IF(Hilfstabelle!$Q23="",1,IF(Hilfstabelle!$Q23="bis",Hilfstabelle!$R23/12,IF(Hilfstabelle!$Q23="ab",(12-Hilfstabelle!$R23+1)/12,((Hilfstabelle!R23+1)-Hilfstabelle!Q23)/12))))</f>
        <v>1</v>
      </c>
      <c r="Q35" s="864"/>
      <c r="R35" s="303">
        <f t="shared" si="1"/>
        <v>0</v>
      </c>
      <c r="S35" s="262"/>
      <c r="T35" s="262"/>
      <c r="U35" s="261"/>
      <c r="V35" s="261"/>
      <c r="W35" s="261"/>
      <c r="X35" s="781"/>
      <c r="Y35" s="976"/>
      <c r="Z35" s="976" t="str">
        <f t="shared" si="4"/>
        <v/>
      </c>
      <c r="AA35" s="976"/>
      <c r="AB35" s="780"/>
      <c r="AC35" s="979"/>
      <c r="AD35" s="977"/>
      <c r="AE35" s="977"/>
      <c r="AF35" s="977"/>
      <c r="AG35" s="978"/>
      <c r="AH35" s="978"/>
      <c r="AI35" s="978"/>
      <c r="AJ35" s="978"/>
      <c r="AK35" s="44"/>
      <c r="AL35" s="44"/>
      <c r="AM35" s="44"/>
      <c r="AN35" s="44"/>
      <c r="AO35" s="44"/>
      <c r="AP35" s="44"/>
    </row>
    <row r="36" spans="1:42" ht="20.100000000000001" customHeight="1">
      <c r="C36" s="289">
        <f>IF(C35=9,10,22)</f>
        <v>10</v>
      </c>
      <c r="D36" s="861" t="s">
        <v>282</v>
      </c>
      <c r="E36" s="860"/>
      <c r="F36" s="991"/>
      <c r="G36" s="991"/>
      <c r="H36" s="803"/>
      <c r="I36" s="802"/>
      <c r="J36" s="802"/>
      <c r="K36" s="299">
        <f t="shared" si="2"/>
        <v>0</v>
      </c>
      <c r="L36" s="300">
        <f>K36</f>
        <v>0</v>
      </c>
      <c r="M36" s="862"/>
      <c r="N36" s="804"/>
      <c r="O36" s="301">
        <f>IF(AND(Hilfstabelle!Q24="",Hilfstabelle!R24=""),L36*12+M36*L36+N36*IF(K36&lt;451,L$7,L$6),IF(OR(Hilfstabelle!Q24="",Hilfstabelle!R24="",Hilfstabelle!Q24=0,Hilfstabelle!R24=0,Hilfstabelle!Q24&gt;Hilfstabelle!R24),0,L36*(Hilfstabelle!R24-Hilfstabelle!Q24+1)+L36*M36+N36*IF(K36&lt;451,L$7,L$6)))</f>
        <v>0</v>
      </c>
      <c r="P36" s="302">
        <f>$E36*(IF(Hilfstabelle!$Q24="",1,IF(Hilfstabelle!$Q24="bis",Hilfstabelle!$R24/12,IF(Hilfstabelle!$Q24="ab",(12-Hilfstabelle!$R24+1)/12,((Hilfstabelle!R24+1)-Hilfstabelle!Q24)/12))))</f>
        <v>0</v>
      </c>
      <c r="Q36" s="864"/>
      <c r="R36" s="303">
        <f t="shared" si="1"/>
        <v>0</v>
      </c>
      <c r="S36" s="262" t="str">
        <f t="shared" si="3"/>
        <v/>
      </c>
      <c r="T36" s="262"/>
      <c r="U36" s="261"/>
      <c r="V36" s="261"/>
      <c r="W36" s="261"/>
      <c r="X36" s="781"/>
      <c r="Y36" s="976"/>
      <c r="Z36" s="976" t="str">
        <f t="shared" si="4"/>
        <v/>
      </c>
      <c r="AA36" s="976"/>
      <c r="AB36" s="780" t="str">
        <f>IF(AND(Hilfstabelle!$Q24="",Hilfstabelle!$R24=""),"",IF(OR(Hilfstabelle!$Q24="",Hilfstabelle!$R24="",Hilfstabelle!$Q24=0,Hilfstabelle!$R24=0,Hilfstabelle!$Q24&gt;Hilfstabelle!$R24),"ja",""))</f>
        <v/>
      </c>
      <c r="AC36" s="979" t="str">
        <f t="shared" si="5"/>
        <v/>
      </c>
      <c r="AD36" s="977"/>
      <c r="AE36" s="977"/>
      <c r="AF36" s="977"/>
      <c r="AG36" s="978"/>
      <c r="AH36" s="978"/>
      <c r="AI36" s="978"/>
      <c r="AJ36" s="978"/>
      <c r="AK36" s="44"/>
      <c r="AL36" s="44"/>
      <c r="AM36" s="44"/>
      <c r="AN36" s="44"/>
      <c r="AO36" s="44"/>
      <c r="AP36" s="44"/>
    </row>
    <row r="37" spans="1:42" ht="20.100000000000001" customHeight="1">
      <c r="C37" s="289">
        <f>IF(C36=10,11,23)</f>
        <v>11</v>
      </c>
      <c r="D37" s="861" t="s">
        <v>282</v>
      </c>
      <c r="E37" s="860"/>
      <c r="F37" s="991"/>
      <c r="G37" s="991"/>
      <c r="H37" s="803"/>
      <c r="I37" s="802"/>
      <c r="J37" s="802"/>
      <c r="K37" s="299">
        <f t="shared" si="2"/>
        <v>0</v>
      </c>
      <c r="L37" s="300">
        <f>K37</f>
        <v>0</v>
      </c>
      <c r="M37" s="862"/>
      <c r="N37" s="804"/>
      <c r="O37" s="301">
        <f>IF(AND(Hilfstabelle!Q25="",Hilfstabelle!R25=""),L37*12+M37*L37+N37*IF(K37&lt;451,L$7,L$6),IF(OR(Hilfstabelle!Q25="",Hilfstabelle!R25="",Hilfstabelle!Q25=0,Hilfstabelle!R25=0,Hilfstabelle!Q25&gt;Hilfstabelle!R25),0,L37*(Hilfstabelle!R25-Hilfstabelle!Q25+1)+L37*M37+N37*IF(K37&lt;451,L$7,L$6)))</f>
        <v>0</v>
      </c>
      <c r="P37" s="302">
        <f>$E37*(IF(Hilfstabelle!$Q25="",1,IF(Hilfstabelle!$Q25="bis",Hilfstabelle!$R25/12,IF(Hilfstabelle!$Q25="ab",(12-Hilfstabelle!$R25+1)/12,((Hilfstabelle!R25+1)-Hilfstabelle!Q25)/12))))</f>
        <v>0</v>
      </c>
      <c r="Q37" s="864"/>
      <c r="R37" s="303">
        <f>P37*Q37</f>
        <v>0</v>
      </c>
      <c r="S37" s="262" t="str">
        <f t="shared" si="3"/>
        <v/>
      </c>
      <c r="T37" s="262"/>
      <c r="U37" s="261"/>
      <c r="V37" s="261"/>
      <c r="W37" s="261"/>
      <c r="X37" s="781"/>
      <c r="Y37" s="976"/>
      <c r="Z37" s="976" t="str">
        <f t="shared" si="4"/>
        <v/>
      </c>
      <c r="AA37" s="976"/>
      <c r="AB37" s="780" t="str">
        <f>IF(AND(Hilfstabelle!$Q25="",Hilfstabelle!$R25=""),"",IF(OR(Hilfstabelle!$Q25="",Hilfstabelle!$R25="",Hilfstabelle!$Q25=0,Hilfstabelle!$R25=0,Hilfstabelle!$Q25&gt;Hilfstabelle!$R25),"ja",""))</f>
        <v/>
      </c>
      <c r="AC37" s="979" t="str">
        <f t="shared" si="5"/>
        <v/>
      </c>
      <c r="AD37" s="977"/>
      <c r="AE37" s="977"/>
      <c r="AF37" s="977"/>
      <c r="AG37" s="978"/>
      <c r="AH37" s="978"/>
      <c r="AI37" s="978"/>
      <c r="AJ37" s="978"/>
      <c r="AK37" s="44"/>
      <c r="AL37" s="44"/>
      <c r="AM37" s="44"/>
      <c r="AN37" s="44"/>
      <c r="AO37" s="44"/>
      <c r="AP37" s="44"/>
    </row>
    <row r="38" spans="1:42" ht="20.100000000000001" customHeight="1">
      <c r="C38" s="289">
        <f>IF(C37=11,12,24)</f>
        <v>12</v>
      </c>
      <c r="D38" s="861" t="s">
        <v>282</v>
      </c>
      <c r="E38" s="860"/>
      <c r="F38" s="993"/>
      <c r="G38" s="991"/>
      <c r="H38" s="805"/>
      <c r="I38" s="802"/>
      <c r="J38" s="802"/>
      <c r="K38" s="299">
        <f t="shared" si="2"/>
        <v>0</v>
      </c>
      <c r="L38" s="300">
        <f>K38</f>
        <v>0</v>
      </c>
      <c r="M38" s="862"/>
      <c r="N38" s="804"/>
      <c r="O38" s="301">
        <f>IF(AND(Hilfstabelle!Q26="",Hilfstabelle!R26=""),L38*12+M38*L38+N38*IF(K38&lt;451,L$7,L$6),IF(OR(Hilfstabelle!Q26="",Hilfstabelle!R26="",Hilfstabelle!Q26=0,Hilfstabelle!R26=0,Hilfstabelle!Q26&gt;Hilfstabelle!R26),0,L38*(Hilfstabelle!R26-Hilfstabelle!Q26+1)+L38*M38+N38*IF(K38&lt;451,L$7,L$6)))</f>
        <v>0</v>
      </c>
      <c r="P38" s="302">
        <f>$E38*(IF(Hilfstabelle!$Q26="",1,IF(Hilfstabelle!$Q26="bis",Hilfstabelle!$R26/12,IF(Hilfstabelle!$Q26="ab",(12-Hilfstabelle!$R26+1)/12,((Hilfstabelle!R26+1)-Hilfstabelle!Q26)/12))))</f>
        <v>0</v>
      </c>
      <c r="Q38" s="864"/>
      <c r="R38" s="303">
        <f>P38*Q38</f>
        <v>0</v>
      </c>
      <c r="S38" s="262" t="str">
        <f t="shared" si="3"/>
        <v/>
      </c>
      <c r="T38" s="262"/>
      <c r="U38" s="261"/>
      <c r="V38" s="261"/>
      <c r="W38" s="261"/>
      <c r="X38" s="781"/>
      <c r="Y38" s="976"/>
      <c r="Z38" s="976" t="str">
        <f t="shared" si="4"/>
        <v/>
      </c>
      <c r="AA38" s="976"/>
      <c r="AB38" s="780" t="str">
        <f>IF(AND(Hilfstabelle!$Q26="",Hilfstabelle!$R26=""),"",IF(OR(Hilfstabelle!$Q26="",Hilfstabelle!$R26="",Hilfstabelle!$Q26=0,Hilfstabelle!$R26=0,Hilfstabelle!$Q26&gt;Hilfstabelle!$R26),"ja",""))</f>
        <v/>
      </c>
      <c r="AC38" s="979" t="str">
        <f t="shared" si="5"/>
        <v/>
      </c>
      <c r="AD38" s="977"/>
      <c r="AE38" s="977"/>
      <c r="AF38" s="977"/>
      <c r="AG38" s="978"/>
      <c r="AH38" s="978"/>
      <c r="AI38" s="978"/>
      <c r="AJ38" s="978"/>
      <c r="AK38" s="44"/>
      <c r="AL38" s="44"/>
      <c r="AM38" s="44"/>
      <c r="AN38" s="44"/>
      <c r="AO38" s="44"/>
      <c r="AP38" s="44"/>
    </row>
    <row r="39" spans="1:42" s="15" customFormat="1" ht="20.100000000000001" customHeight="1">
      <c r="C39" s="309" t="s">
        <v>9</v>
      </c>
      <c r="D39" s="310"/>
      <c r="E39" s="311">
        <f>SUM(E15:E38)</f>
        <v>1</v>
      </c>
      <c r="F39" s="312"/>
      <c r="G39" s="313"/>
      <c r="H39" s="313"/>
      <c r="I39" s="314"/>
      <c r="J39" s="314"/>
      <c r="K39" s="315">
        <f t="shared" ref="K39:P39" si="7">SUM(K15:K38)</f>
        <v>0</v>
      </c>
      <c r="L39" s="315">
        <f t="shared" si="7"/>
        <v>0</v>
      </c>
      <c r="M39" s="316">
        <f t="shared" si="7"/>
        <v>0</v>
      </c>
      <c r="N39" s="316">
        <f t="shared" si="7"/>
        <v>0</v>
      </c>
      <c r="O39" s="317">
        <f t="shared" si="7"/>
        <v>0</v>
      </c>
      <c r="P39" s="313">
        <f t="shared" si="7"/>
        <v>1</v>
      </c>
      <c r="Q39" s="313"/>
      <c r="R39" s="318">
        <f>SUM(R15:R38)</f>
        <v>0</v>
      </c>
      <c r="S39" s="319"/>
      <c r="T39" s="320"/>
      <c r="U39" s="319"/>
      <c r="V39" s="319"/>
      <c r="W39" s="319"/>
      <c r="X39" s="319"/>
      <c r="Y39" s="980"/>
      <c r="Z39" s="980"/>
      <c r="AA39" s="980"/>
      <c r="AB39" s="985"/>
      <c r="AC39" s="981"/>
      <c r="AD39" s="981"/>
      <c r="AE39" s="981"/>
      <c r="AF39" s="981"/>
      <c r="AG39" s="982"/>
      <c r="AH39" s="982"/>
      <c r="AI39" s="982"/>
      <c r="AJ39" s="982"/>
      <c r="AK39" s="45"/>
      <c r="AL39" s="45"/>
      <c r="AM39" s="44"/>
      <c r="AN39" s="44"/>
      <c r="AO39" s="44"/>
      <c r="AP39" s="44"/>
    </row>
    <row r="40" spans="1:42" ht="20.7" customHeight="1">
      <c r="C40" s="256"/>
      <c r="D40" s="322"/>
      <c r="E40" s="257"/>
      <c r="F40" s="256"/>
      <c r="G40" s="256"/>
      <c r="H40" s="256"/>
      <c r="I40" s="256"/>
      <c r="J40" s="256"/>
      <c r="K40" s="256"/>
      <c r="L40" s="323" t="s">
        <v>16</v>
      </c>
      <c r="M40" s="324"/>
      <c r="N40" s="324"/>
      <c r="O40" s="806"/>
      <c r="P40" s="256"/>
      <c r="Q40" s="256"/>
      <c r="R40" s="256"/>
      <c r="S40" s="261"/>
      <c r="T40" s="262"/>
      <c r="U40" s="261"/>
      <c r="V40" s="261"/>
      <c r="W40" s="261"/>
      <c r="X40" s="261"/>
      <c r="Y40" s="976"/>
      <c r="Z40" s="976"/>
      <c r="AA40" s="976"/>
      <c r="AB40" s="984"/>
      <c r="AC40" s="977"/>
      <c r="AD40" s="977"/>
      <c r="AE40" s="977"/>
      <c r="AF40" s="977"/>
      <c r="AG40" s="978"/>
      <c r="AH40" s="978"/>
      <c r="AI40" s="978"/>
      <c r="AJ40" s="978"/>
      <c r="AK40" s="44"/>
      <c r="AL40" s="44"/>
      <c r="AM40" s="44"/>
      <c r="AN40" s="44"/>
      <c r="AO40" s="44"/>
      <c r="AP40" s="44"/>
    </row>
    <row r="41" spans="1:42" ht="20.7" customHeight="1" thickBot="1">
      <c r="C41" s="256"/>
      <c r="D41" s="256"/>
      <c r="E41" s="257"/>
      <c r="F41" s="256"/>
      <c r="G41" s="256"/>
      <c r="H41" s="256"/>
      <c r="I41" s="256"/>
      <c r="J41" s="256"/>
      <c r="K41" s="256"/>
      <c r="L41" s="325" t="s">
        <v>106</v>
      </c>
      <c r="M41" s="326"/>
      <c r="N41" s="326"/>
      <c r="O41" s="807"/>
      <c r="P41" s="256"/>
      <c r="Q41" s="256"/>
      <c r="R41" s="256"/>
      <c r="S41" s="261"/>
      <c r="T41" s="262"/>
      <c r="U41" s="261"/>
      <c r="V41" s="261"/>
      <c r="W41" s="261"/>
      <c r="X41" s="261"/>
      <c r="Y41" s="976"/>
      <c r="Z41" s="976"/>
      <c r="AA41" s="976"/>
      <c r="AB41" s="984"/>
      <c r="AC41" s="977"/>
      <c r="AD41" s="977"/>
      <c r="AE41" s="977"/>
      <c r="AF41" s="977"/>
      <c r="AG41" s="978"/>
      <c r="AH41" s="978"/>
      <c r="AI41" s="978"/>
      <c r="AJ41" s="978"/>
      <c r="AK41" s="44"/>
      <c r="AL41" s="44"/>
      <c r="AM41" s="44"/>
      <c r="AN41" s="44"/>
      <c r="AO41" s="44"/>
      <c r="AP41" s="44"/>
    </row>
    <row r="42" spans="1:42" ht="20.7" customHeight="1" collapsed="1" thickTop="1" thickBot="1">
      <c r="C42" s="256"/>
      <c r="D42" s="256"/>
      <c r="E42" s="257"/>
      <c r="F42" s="256"/>
      <c r="G42" s="256"/>
      <c r="H42" s="256"/>
      <c r="I42" s="256"/>
      <c r="J42" s="256"/>
      <c r="K42" s="256"/>
      <c r="L42" s="327" t="s">
        <v>17</v>
      </c>
      <c r="M42" s="328"/>
      <c r="N42" s="328"/>
      <c r="O42" s="329">
        <f>ROUND(O39+O40+O41,-2)</f>
        <v>0</v>
      </c>
      <c r="P42" s="256"/>
      <c r="Q42" s="256"/>
      <c r="R42" s="256"/>
      <c r="S42" s="261"/>
      <c r="T42" s="262"/>
      <c r="U42" s="261"/>
      <c r="V42" s="261"/>
      <c r="W42" s="261"/>
      <c r="X42" s="261"/>
      <c r="Y42" s="976"/>
      <c r="Z42" s="976"/>
      <c r="AA42" s="976"/>
      <c r="AB42" s="984"/>
      <c r="AC42" s="977"/>
      <c r="AD42" s="977"/>
      <c r="AE42" s="977"/>
      <c r="AF42" s="977"/>
      <c r="AG42" s="978"/>
      <c r="AH42" s="978"/>
      <c r="AI42" s="978"/>
      <c r="AJ42" s="978"/>
      <c r="AK42" s="44"/>
      <c r="AL42" s="44"/>
      <c r="AM42" s="44"/>
      <c r="AN42" s="44"/>
      <c r="AO42" s="44"/>
      <c r="AP42" s="44"/>
    </row>
    <row r="43" spans="1:42" ht="20.7" hidden="1" customHeight="1" outlineLevel="1" thickTop="1">
      <c r="A43" s="1148" t="s">
        <v>510</v>
      </c>
      <c r="C43" s="256"/>
      <c r="D43" s="256"/>
      <c r="E43" s="257"/>
      <c r="F43" s="256"/>
      <c r="G43" s="256"/>
      <c r="H43" s="256"/>
      <c r="I43" s="256"/>
      <c r="J43" s="256"/>
      <c r="K43" s="256"/>
      <c r="L43" s="330" t="s">
        <v>182</v>
      </c>
      <c r="M43" s="256"/>
      <c r="N43" s="256"/>
      <c r="O43" s="331">
        <f>$R$39</f>
        <v>0</v>
      </c>
      <c r="P43" s="256"/>
      <c r="Q43" s="256"/>
      <c r="R43" s="256"/>
      <c r="S43" s="261"/>
      <c r="T43" s="262"/>
      <c r="U43" s="261"/>
      <c r="V43" s="261"/>
      <c r="W43" s="261"/>
      <c r="X43" s="261"/>
      <c r="Y43" s="976"/>
      <c r="Z43" s="976"/>
      <c r="AA43" s="976"/>
      <c r="AB43" s="984"/>
      <c r="AC43" s="977"/>
      <c r="AD43" s="977"/>
      <c r="AE43" s="977"/>
      <c r="AF43" s="977"/>
      <c r="AG43" s="978"/>
      <c r="AH43" s="978"/>
      <c r="AI43" s="978"/>
      <c r="AJ43" s="978"/>
      <c r="AK43" s="44"/>
      <c r="AL43" s="44"/>
      <c r="AM43" s="44"/>
      <c r="AN43" s="44"/>
      <c r="AO43" s="44"/>
      <c r="AP43" s="44"/>
    </row>
    <row r="44" spans="1:42" ht="20.7" hidden="1" customHeight="1" outlineLevel="1">
      <c r="A44" s="1149"/>
      <c r="C44" s="256"/>
      <c r="D44" s="256"/>
      <c r="E44" s="257"/>
      <c r="F44" s="256"/>
      <c r="G44" s="256"/>
      <c r="H44" s="256"/>
      <c r="I44" s="256"/>
      <c r="J44" s="256"/>
      <c r="K44" s="256"/>
      <c r="L44" s="323" t="s">
        <v>18</v>
      </c>
      <c r="M44" s="324"/>
      <c r="N44" s="324"/>
      <c r="O44" s="332">
        <f>Rentabilität!$F$22</f>
        <v>0</v>
      </c>
      <c r="P44" s="256"/>
      <c r="Q44" s="256"/>
      <c r="R44" s="256"/>
      <c r="S44" s="261"/>
      <c r="T44" s="262"/>
      <c r="U44" s="261"/>
      <c r="V44" s="261"/>
      <c r="W44" s="261"/>
      <c r="X44" s="261"/>
      <c r="Y44" s="976"/>
      <c r="Z44" s="976"/>
      <c r="AA44" s="976"/>
      <c r="AB44" s="984"/>
      <c r="AC44" s="977"/>
      <c r="AD44" s="977"/>
      <c r="AE44" s="977"/>
      <c r="AF44" s="977"/>
      <c r="AG44" s="978"/>
      <c r="AH44" s="978"/>
      <c r="AI44" s="978"/>
      <c r="AJ44" s="978"/>
      <c r="AK44" s="44"/>
      <c r="AL44" s="44"/>
      <c r="AM44" s="44"/>
      <c r="AN44" s="44"/>
      <c r="AO44" s="44"/>
      <c r="AP44" s="44"/>
    </row>
    <row r="45" spans="1:42" ht="20.7" hidden="1" customHeight="1" outlineLevel="1" thickBot="1">
      <c r="A45" s="1149"/>
      <c r="C45" s="256"/>
      <c r="D45" s="256"/>
      <c r="E45" s="257"/>
      <c r="F45" s="256"/>
      <c r="G45" s="256"/>
      <c r="H45" s="256"/>
      <c r="I45" s="256"/>
      <c r="J45" s="256"/>
      <c r="K45" s="256"/>
      <c r="L45" s="333" t="s">
        <v>185</v>
      </c>
      <c r="M45" s="334"/>
      <c r="N45" s="324"/>
      <c r="O45" s="332">
        <f>Rentabilität!$F$23</f>
        <v>0</v>
      </c>
      <c r="P45" s="256"/>
      <c r="Q45" s="256"/>
      <c r="R45" s="256"/>
      <c r="S45" s="261"/>
      <c r="T45" s="262"/>
      <c r="U45" s="261"/>
      <c r="V45" s="261"/>
      <c r="W45" s="261"/>
      <c r="X45" s="261"/>
      <c r="Y45" s="976"/>
      <c r="Z45" s="976"/>
      <c r="AA45" s="976"/>
      <c r="AB45" s="984"/>
      <c r="AC45" s="977"/>
      <c r="AD45" s="977"/>
      <c r="AE45" s="977"/>
      <c r="AF45" s="977"/>
      <c r="AG45" s="978"/>
      <c r="AH45" s="978"/>
      <c r="AI45" s="978"/>
      <c r="AJ45" s="978"/>
      <c r="AK45" s="44"/>
      <c r="AL45" s="44"/>
      <c r="AM45" s="44"/>
      <c r="AN45" s="44"/>
      <c r="AO45" s="44"/>
      <c r="AP45" s="44"/>
    </row>
    <row r="46" spans="1:42" ht="20.7" hidden="1" customHeight="1" outlineLevel="1" thickTop="1">
      <c r="A46" s="1149"/>
      <c r="C46" s="256"/>
      <c r="D46" s="256"/>
      <c r="E46" s="257"/>
      <c r="F46" s="256"/>
      <c r="G46" s="256"/>
      <c r="H46" s="256"/>
      <c r="I46" s="256"/>
      <c r="J46" s="256"/>
      <c r="K46" s="256"/>
      <c r="L46" s="335" t="s">
        <v>184</v>
      </c>
      <c r="M46" s="336"/>
      <c r="N46" s="336"/>
      <c r="O46" s="337" t="str">
        <f>IF((O44-O45)&lt;0,0,IF(O43=0,"",(O44-O45)/O43))</f>
        <v/>
      </c>
      <c r="P46" s="256"/>
      <c r="Q46" s="256"/>
      <c r="R46" s="256"/>
      <c r="S46" s="261"/>
      <c r="T46" s="262"/>
      <c r="U46" s="261"/>
      <c r="V46" s="261"/>
      <c r="W46" s="261"/>
      <c r="X46" s="261"/>
      <c r="Y46" s="976"/>
      <c r="Z46" s="976"/>
      <c r="AA46" s="976"/>
      <c r="AB46" s="984"/>
      <c r="AC46" s="977"/>
      <c r="AD46" s="977"/>
      <c r="AE46" s="977"/>
      <c r="AF46" s="977"/>
      <c r="AG46" s="978"/>
      <c r="AH46" s="978"/>
      <c r="AI46" s="978"/>
      <c r="AJ46" s="978"/>
      <c r="AK46" s="44"/>
      <c r="AL46" s="44"/>
      <c r="AM46" s="44"/>
      <c r="AN46" s="44"/>
      <c r="AO46" s="44"/>
      <c r="AP46" s="44"/>
    </row>
    <row r="47" spans="1:42" ht="20.7" hidden="1" customHeight="1" outlineLevel="1" thickBot="1">
      <c r="A47" s="1150"/>
      <c r="C47" s="256"/>
      <c r="D47" s="256"/>
      <c r="E47" s="257"/>
      <c r="F47" s="256"/>
      <c r="G47" s="256"/>
      <c r="H47" s="256"/>
      <c r="I47" s="256"/>
      <c r="J47" s="256"/>
      <c r="K47" s="256"/>
      <c r="L47" s="338" t="s">
        <v>183</v>
      </c>
      <c r="M47" s="339"/>
      <c r="N47" s="340"/>
      <c r="O47" s="341"/>
      <c r="P47" s="256"/>
      <c r="Q47" s="256"/>
      <c r="R47" s="256"/>
      <c r="S47" s="261"/>
      <c r="T47" s="262"/>
      <c r="U47" s="261"/>
      <c r="V47" s="261"/>
      <c r="W47" s="261"/>
      <c r="X47" s="261"/>
      <c r="Y47" s="976"/>
      <c r="Z47" s="976"/>
      <c r="AA47" s="976"/>
      <c r="AB47" s="984"/>
      <c r="AC47" s="977"/>
      <c r="AD47" s="977"/>
      <c r="AE47" s="977"/>
      <c r="AF47" s="977"/>
      <c r="AG47" s="978"/>
      <c r="AH47" s="978"/>
      <c r="AI47" s="978"/>
      <c r="AJ47" s="978"/>
      <c r="AK47" s="44"/>
      <c r="AL47" s="44"/>
      <c r="AM47" s="44"/>
      <c r="AN47" s="44"/>
      <c r="AO47" s="44"/>
      <c r="AP47" s="44"/>
    </row>
    <row r="48" spans="1:42" ht="20.7" customHeight="1" thickTop="1">
      <c r="A48" s="1133" t="s">
        <v>509</v>
      </c>
      <c r="C48" s="256"/>
      <c r="D48" s="256"/>
      <c r="E48" s="257"/>
      <c r="F48" s="256"/>
      <c r="G48" s="256"/>
      <c r="H48" s="256"/>
      <c r="I48" s="256"/>
      <c r="J48" s="256"/>
      <c r="K48" s="256"/>
      <c r="L48" s="256"/>
      <c r="M48" s="256"/>
      <c r="N48" s="256"/>
      <c r="O48" s="256"/>
      <c r="P48" s="256"/>
      <c r="Q48" s="256"/>
      <c r="R48" s="256"/>
      <c r="S48" s="261"/>
      <c r="T48" s="262"/>
      <c r="U48" s="261"/>
      <c r="V48" s="261"/>
      <c r="W48" s="261"/>
      <c r="X48" s="261"/>
      <c r="Y48" s="976"/>
      <c r="Z48" s="976"/>
      <c r="AA48" s="976"/>
      <c r="AB48" s="984"/>
      <c r="AC48" s="977"/>
      <c r="AD48" s="977"/>
      <c r="AE48" s="977"/>
      <c r="AF48" s="977"/>
      <c r="AG48" s="978"/>
      <c r="AH48" s="978"/>
      <c r="AI48" s="978"/>
      <c r="AJ48" s="978"/>
      <c r="AK48" s="44"/>
      <c r="AL48" s="44"/>
      <c r="AM48" s="44"/>
      <c r="AN48" s="44"/>
      <c r="AO48" s="44"/>
      <c r="AP48" s="44"/>
    </row>
    <row r="49" spans="1:42" ht="20.7" customHeight="1">
      <c r="A49" s="1134"/>
      <c r="C49" s="261"/>
      <c r="D49" s="261"/>
      <c r="E49" s="342"/>
      <c r="F49" s="261"/>
      <c r="G49" s="261"/>
      <c r="H49" s="261"/>
      <c r="I49" s="261"/>
      <c r="J49" s="261"/>
      <c r="K49" s="261"/>
      <c r="L49" s="261"/>
      <c r="M49" s="261"/>
      <c r="N49" s="261"/>
      <c r="O49" s="261"/>
      <c r="P49" s="343"/>
      <c r="Q49" s="343"/>
      <c r="R49" s="343"/>
      <c r="S49" s="343"/>
      <c r="T49" s="262"/>
      <c r="U49" s="261"/>
      <c r="V49" s="261"/>
      <c r="W49" s="261"/>
      <c r="X49" s="261"/>
      <c r="Y49" s="976"/>
      <c r="Z49" s="976"/>
      <c r="AA49" s="976"/>
      <c r="AB49" s="984"/>
      <c r="AC49" s="977"/>
      <c r="AD49" s="977"/>
      <c r="AE49" s="977"/>
      <c r="AF49" s="977"/>
      <c r="AG49" s="978"/>
      <c r="AH49" s="978"/>
      <c r="AI49" s="978"/>
      <c r="AJ49" s="978"/>
      <c r="AK49" s="44"/>
      <c r="AL49" s="44"/>
      <c r="AM49" s="44"/>
      <c r="AN49" s="44"/>
      <c r="AO49" s="44"/>
      <c r="AP49" s="44"/>
    </row>
    <row r="50" spans="1:42" ht="20.7" customHeight="1">
      <c r="A50" s="1134"/>
      <c r="C50" s="261"/>
      <c r="D50" s="261"/>
      <c r="E50" s="342"/>
      <c r="F50" s="261"/>
      <c r="G50" s="261"/>
      <c r="H50" s="261"/>
      <c r="I50" s="261"/>
      <c r="J50" s="261"/>
      <c r="K50" s="261"/>
      <c r="L50" s="261"/>
      <c r="M50" s="261"/>
      <c r="N50" s="261"/>
      <c r="O50" s="261"/>
      <c r="P50" s="343"/>
      <c r="Q50" s="343"/>
      <c r="R50" s="343"/>
      <c r="S50" s="343"/>
      <c r="T50" s="262"/>
      <c r="U50" s="261"/>
      <c r="V50" s="261"/>
      <c r="W50" s="261"/>
      <c r="X50" s="261"/>
      <c r="Y50" s="261"/>
      <c r="Z50" s="261"/>
      <c r="AA50" s="261"/>
      <c r="AB50" s="984"/>
      <c r="AC50" s="266"/>
      <c r="AD50" s="266"/>
      <c r="AE50" s="266"/>
      <c r="AF50" s="266"/>
      <c r="AG50" s="44"/>
      <c r="AH50" s="44"/>
      <c r="AI50" s="44"/>
      <c r="AJ50" s="44"/>
      <c r="AK50" s="44"/>
      <c r="AL50" s="44"/>
      <c r="AM50" s="44"/>
      <c r="AN50" s="44"/>
      <c r="AO50" s="44"/>
      <c r="AP50" s="44"/>
    </row>
    <row r="51" spans="1:42" ht="20.7" customHeight="1">
      <c r="A51" s="1134"/>
      <c r="B51" s="975"/>
      <c r="C51" s="261"/>
      <c r="D51" s="261"/>
      <c r="E51" s="342"/>
      <c r="F51" s="261"/>
      <c r="G51" s="261"/>
      <c r="H51" s="261"/>
      <c r="I51" s="261"/>
      <c r="J51" s="261"/>
      <c r="K51" s="261"/>
      <c r="L51" s="261"/>
      <c r="M51" s="261"/>
      <c r="N51" s="261"/>
      <c r="O51" s="261"/>
      <c r="P51" s="343"/>
      <c r="Q51" s="343"/>
      <c r="R51" s="343"/>
      <c r="S51" s="343"/>
      <c r="T51" s="262"/>
      <c r="U51" s="261"/>
      <c r="V51" s="261"/>
      <c r="W51" s="261"/>
      <c r="X51" s="261"/>
      <c r="Y51" s="261"/>
      <c r="Z51" s="261"/>
      <c r="AA51" s="261"/>
      <c r="AB51" s="984"/>
      <c r="AC51" s="266"/>
      <c r="AD51" s="266"/>
      <c r="AE51" s="266"/>
      <c r="AF51" s="266"/>
      <c r="AG51" s="44"/>
      <c r="AH51" s="44"/>
      <c r="AI51" s="44"/>
      <c r="AJ51" s="44"/>
      <c r="AK51" s="44"/>
      <c r="AL51" s="44"/>
      <c r="AM51" s="44"/>
      <c r="AN51" s="44"/>
      <c r="AO51" s="44"/>
      <c r="AP51" s="44"/>
    </row>
    <row r="52" spans="1:42" ht="16.5" customHeight="1">
      <c r="A52" s="1134"/>
      <c r="B52" s="975"/>
      <c r="C52" s="261"/>
      <c r="D52" s="261"/>
      <c r="E52" s="342"/>
      <c r="F52" s="261"/>
      <c r="G52" s="261"/>
      <c r="H52" s="261"/>
      <c r="I52" s="261"/>
      <c r="J52" s="261"/>
      <c r="K52" s="261"/>
      <c r="L52" s="261"/>
      <c r="M52" s="261"/>
      <c r="N52" s="261"/>
      <c r="O52" s="261"/>
      <c r="P52" s="343"/>
      <c r="Q52" s="343"/>
      <c r="R52" s="343"/>
      <c r="S52" s="343"/>
      <c r="T52" s="262"/>
      <c r="U52" s="261"/>
      <c r="V52" s="261"/>
      <c r="W52" s="261"/>
      <c r="X52" s="261"/>
      <c r="Y52" s="261"/>
      <c r="Z52" s="261"/>
      <c r="AA52" s="261"/>
      <c r="AB52" s="984"/>
      <c r="AC52" s="266"/>
      <c r="AD52" s="266"/>
      <c r="AE52" s="266"/>
      <c r="AF52" s="266"/>
      <c r="AG52" s="44"/>
      <c r="AH52" s="44"/>
      <c r="AI52" s="44"/>
      <c r="AJ52" s="44"/>
      <c r="AK52" s="44"/>
      <c r="AL52" s="44"/>
      <c r="AM52" s="44"/>
      <c r="AN52" s="44"/>
      <c r="AO52" s="44"/>
      <c r="AP52" s="44"/>
    </row>
    <row r="53" spans="1:42" ht="15.75" customHeight="1">
      <c r="A53" s="1135"/>
      <c r="B53" s="975"/>
      <c r="C53" s="261"/>
      <c r="D53" s="261"/>
      <c r="E53" s="342"/>
      <c r="F53" s="261"/>
      <c r="G53" s="261"/>
      <c r="H53" s="261"/>
      <c r="I53" s="261"/>
      <c r="J53" s="261"/>
      <c r="K53" s="261"/>
      <c r="L53" s="261"/>
      <c r="M53" s="261"/>
      <c r="N53" s="261"/>
      <c r="O53" s="261"/>
      <c r="P53" s="343"/>
      <c r="Q53" s="343"/>
      <c r="R53" s="343"/>
      <c r="S53" s="343"/>
      <c r="T53" s="262"/>
      <c r="U53" s="261"/>
      <c r="V53" s="261"/>
      <c r="W53" s="261"/>
      <c r="X53" s="261"/>
      <c r="Y53" s="261"/>
      <c r="Z53" s="261"/>
      <c r="AA53" s="261"/>
      <c r="AB53" s="984"/>
      <c r="AC53" s="266"/>
      <c r="AD53" s="266"/>
      <c r="AE53" s="266"/>
      <c r="AF53" s="266"/>
      <c r="AG53" s="44"/>
      <c r="AH53" s="44"/>
      <c r="AI53" s="44"/>
      <c r="AJ53" s="44"/>
      <c r="AK53" s="44"/>
      <c r="AL53" s="44"/>
      <c r="AM53" s="44"/>
      <c r="AN53" s="44"/>
      <c r="AO53" s="44"/>
      <c r="AP53" s="44"/>
    </row>
    <row r="54" spans="1:42" ht="15.75" customHeight="1">
      <c r="A54" s="948"/>
      <c r="B54" s="975"/>
      <c r="C54" s="261"/>
      <c r="D54" s="261"/>
      <c r="E54" s="342"/>
      <c r="F54" s="261"/>
      <c r="G54" s="261"/>
      <c r="H54" s="261"/>
      <c r="I54" s="261"/>
      <c r="J54" s="261"/>
      <c r="K54" s="261"/>
      <c r="L54" s="261"/>
      <c r="M54" s="261"/>
      <c r="N54" s="261"/>
      <c r="O54" s="261"/>
      <c r="P54" s="343"/>
      <c r="Q54" s="343"/>
      <c r="R54" s="343"/>
      <c r="S54" s="343"/>
      <c r="T54" s="262"/>
      <c r="U54" s="261"/>
      <c r="V54" s="261"/>
      <c r="W54" s="261"/>
      <c r="X54" s="261"/>
      <c r="Y54" s="261"/>
      <c r="Z54" s="261"/>
      <c r="AA54" s="261"/>
      <c r="AB54" s="984"/>
      <c r="AC54" s="266"/>
      <c r="AD54" s="266"/>
      <c r="AE54" s="266"/>
      <c r="AF54" s="266"/>
      <c r="AG54" s="44"/>
      <c r="AH54" s="44"/>
      <c r="AI54" s="44"/>
      <c r="AJ54" s="44"/>
      <c r="AK54" s="44"/>
      <c r="AL54" s="44"/>
      <c r="AM54" s="44"/>
      <c r="AN54" s="44"/>
      <c r="AO54" s="44"/>
      <c r="AP54" s="44"/>
    </row>
    <row r="55" spans="1:42">
      <c r="B55" s="975"/>
      <c r="C55" s="261"/>
      <c r="D55" s="261"/>
      <c r="E55" s="342"/>
      <c r="F55" s="261"/>
      <c r="G55" s="261"/>
      <c r="H55" s="261"/>
      <c r="I55" s="261"/>
      <c r="J55" s="261"/>
      <c r="K55" s="261"/>
      <c r="L55" s="261"/>
      <c r="M55" s="261"/>
      <c r="N55" s="261"/>
      <c r="O55" s="261"/>
      <c r="P55" s="261"/>
      <c r="Q55" s="261"/>
      <c r="R55" s="261"/>
      <c r="S55" s="261"/>
      <c r="T55" s="262"/>
      <c r="U55" s="261"/>
      <c r="V55" s="261"/>
      <c r="W55" s="261"/>
      <c r="X55" s="261"/>
      <c r="Y55" s="261"/>
      <c r="Z55" s="261"/>
      <c r="AA55" s="261"/>
      <c r="AB55" s="984"/>
      <c r="AC55" s="266"/>
      <c r="AD55" s="266"/>
      <c r="AE55" s="266"/>
      <c r="AF55" s="266"/>
      <c r="AG55" s="44"/>
      <c r="AH55" s="44"/>
      <c r="AI55" s="44"/>
      <c r="AJ55" s="44"/>
      <c r="AK55" s="44"/>
      <c r="AL55" s="44"/>
      <c r="AM55" s="44"/>
      <c r="AN55" s="44"/>
      <c r="AO55" s="44"/>
      <c r="AP55" s="44"/>
    </row>
    <row r="56" spans="1:42">
      <c r="A56" s="975"/>
      <c r="B56" s="975"/>
      <c r="C56" s="976"/>
      <c r="D56" s="976"/>
      <c r="E56" s="987"/>
      <c r="F56" s="261"/>
      <c r="G56" s="261"/>
      <c r="H56" s="261"/>
      <c r="I56" s="261"/>
      <c r="J56" s="261"/>
      <c r="K56" s="261"/>
      <c r="L56" s="261"/>
      <c r="M56" s="261"/>
      <c r="N56" s="261"/>
      <c r="O56" s="261"/>
      <c r="P56" s="261"/>
      <c r="Q56" s="261"/>
      <c r="R56" s="261"/>
      <c r="S56" s="261"/>
      <c r="T56" s="262"/>
      <c r="U56" s="261"/>
      <c r="V56" s="261"/>
      <c r="W56" s="261"/>
      <c r="X56" s="261"/>
      <c r="Y56" s="261"/>
      <c r="Z56" s="261"/>
      <c r="AA56" s="261"/>
      <c r="AB56" s="984"/>
      <c r="AC56" s="266"/>
      <c r="AD56" s="266"/>
      <c r="AE56" s="266"/>
      <c r="AF56" s="266"/>
      <c r="AG56" s="44"/>
      <c r="AH56" s="44"/>
      <c r="AI56" s="44"/>
      <c r="AJ56" s="44"/>
      <c r="AK56" s="44"/>
      <c r="AL56" s="44"/>
      <c r="AM56" s="44"/>
      <c r="AN56" s="44"/>
      <c r="AO56" s="44"/>
      <c r="AP56" s="44"/>
    </row>
    <row r="57" spans="1:42">
      <c r="A57" s="975"/>
      <c r="B57" s="975"/>
      <c r="C57" s="976"/>
      <c r="D57" s="976"/>
      <c r="E57" s="987"/>
      <c r="F57" s="261"/>
      <c r="G57" s="261"/>
      <c r="H57" s="261"/>
      <c r="I57" s="261"/>
      <c r="J57" s="261"/>
      <c r="K57" s="261"/>
      <c r="L57" s="261"/>
      <c r="M57" s="261"/>
      <c r="N57" s="261"/>
      <c r="O57" s="261"/>
      <c r="P57" s="261"/>
      <c r="Q57" s="261"/>
      <c r="R57" s="261"/>
      <c r="S57" s="261"/>
      <c r="T57" s="262"/>
      <c r="U57" s="261"/>
      <c r="V57" s="261"/>
      <c r="W57" s="261"/>
      <c r="X57" s="261"/>
      <c r="Y57" s="261"/>
      <c r="Z57" s="261"/>
      <c r="AA57" s="261"/>
      <c r="AB57" s="984"/>
      <c r="AC57" s="266"/>
      <c r="AD57" s="266"/>
      <c r="AE57" s="266"/>
      <c r="AF57" s="266"/>
      <c r="AG57" s="44"/>
      <c r="AH57" s="44"/>
      <c r="AI57" s="44"/>
      <c r="AJ57" s="44"/>
      <c r="AK57" s="44"/>
      <c r="AL57" s="44"/>
      <c r="AM57" s="44"/>
      <c r="AN57" s="44"/>
      <c r="AO57" s="44"/>
      <c r="AP57" s="44"/>
    </row>
    <row r="58" spans="1:42">
      <c r="A58" s="975"/>
      <c r="B58" s="975"/>
      <c r="C58" s="976"/>
      <c r="D58" s="976"/>
      <c r="E58" s="987"/>
      <c r="F58" s="261"/>
      <c r="G58" s="261"/>
      <c r="H58" s="261"/>
      <c r="I58" s="261"/>
      <c r="J58" s="261"/>
      <c r="K58" s="261"/>
      <c r="L58" s="261"/>
      <c r="M58" s="261"/>
      <c r="N58" s="261"/>
      <c r="O58" s="261"/>
      <c r="P58" s="261"/>
      <c r="Q58" s="261"/>
      <c r="R58" s="261"/>
      <c r="S58" s="261"/>
      <c r="T58" s="262"/>
      <c r="U58" s="261"/>
      <c r="V58" s="261"/>
      <c r="W58" s="261"/>
      <c r="X58" s="261"/>
      <c r="Y58" s="261"/>
      <c r="Z58" s="261"/>
      <c r="AA58" s="261"/>
      <c r="AB58" s="984"/>
      <c r="AC58" s="266"/>
      <c r="AD58" s="266"/>
      <c r="AE58" s="266"/>
      <c r="AF58" s="266"/>
      <c r="AG58" s="44"/>
      <c r="AH58" s="44"/>
      <c r="AI58" s="44"/>
      <c r="AJ58" s="44"/>
      <c r="AK58" s="44"/>
      <c r="AL58" s="44"/>
      <c r="AM58" s="44"/>
      <c r="AN58" s="44"/>
      <c r="AO58" s="44"/>
      <c r="AP58" s="44"/>
    </row>
    <row r="59" spans="1:42">
      <c r="A59" s="983"/>
      <c r="B59" s="983" t="s">
        <v>529</v>
      </c>
      <c r="C59" s="976"/>
      <c r="D59" s="976"/>
      <c r="E59" s="987"/>
      <c r="F59" s="261"/>
      <c r="G59" s="261"/>
      <c r="H59" s="261"/>
      <c r="I59" s="261"/>
      <c r="J59" s="261"/>
      <c r="K59" s="261"/>
      <c r="L59" s="261"/>
      <c r="M59" s="261"/>
      <c r="N59" s="261"/>
      <c r="O59" s="261"/>
      <c r="P59" s="261"/>
      <c r="Q59" s="261"/>
      <c r="R59" s="261"/>
      <c r="S59" s="261"/>
      <c r="T59" s="262"/>
      <c r="U59" s="261"/>
      <c r="V59" s="261"/>
      <c r="W59" s="261"/>
      <c r="X59" s="261"/>
      <c r="Y59" s="261"/>
      <c r="Z59" s="261"/>
      <c r="AA59" s="261"/>
      <c r="AB59" s="984"/>
      <c r="AC59" s="266"/>
      <c r="AD59" s="266"/>
      <c r="AE59" s="266"/>
      <c r="AF59" s="266"/>
      <c r="AG59" s="44"/>
      <c r="AH59" s="44"/>
      <c r="AI59" s="44"/>
      <c r="AJ59" s="44"/>
      <c r="AK59" s="44"/>
      <c r="AL59" s="44"/>
      <c r="AM59" s="44"/>
      <c r="AN59" s="44"/>
      <c r="AO59" s="44"/>
      <c r="AP59" s="44"/>
    </row>
    <row r="60" spans="1:42">
      <c r="A60" s="983"/>
      <c r="B60" s="983" t="s">
        <v>530</v>
      </c>
      <c r="C60" s="976"/>
      <c r="D60" s="976"/>
      <c r="E60" s="987"/>
      <c r="F60" s="261"/>
      <c r="G60" s="261"/>
      <c r="H60" s="261"/>
      <c r="I60" s="261"/>
      <c r="J60" s="261"/>
      <c r="K60" s="261"/>
      <c r="L60" s="261"/>
      <c r="M60" s="261"/>
      <c r="N60" s="261"/>
      <c r="O60" s="261"/>
      <c r="P60" s="261"/>
      <c r="Q60" s="261"/>
      <c r="R60" s="261"/>
      <c r="S60" s="261"/>
      <c r="T60" s="262"/>
      <c r="U60" s="261"/>
      <c r="V60" s="261"/>
      <c r="W60" s="261"/>
      <c r="X60" s="261"/>
      <c r="Y60" s="261"/>
      <c r="Z60" s="261"/>
      <c r="AA60" s="261"/>
      <c r="AB60" s="984"/>
      <c r="AC60" s="266"/>
      <c r="AD60" s="266"/>
      <c r="AE60" s="266"/>
      <c r="AF60" s="266"/>
      <c r="AG60" s="44"/>
      <c r="AH60" s="44"/>
      <c r="AI60" s="44"/>
      <c r="AJ60" s="44"/>
      <c r="AK60" s="44"/>
      <c r="AL60" s="44"/>
      <c r="AM60" s="44"/>
      <c r="AN60" s="44"/>
      <c r="AO60" s="44"/>
      <c r="AP60" s="44"/>
    </row>
    <row r="61" spans="1:42">
      <c r="A61" s="983"/>
      <c r="B61" s="983" t="s">
        <v>531</v>
      </c>
      <c r="C61" s="976"/>
      <c r="D61" s="976"/>
      <c r="E61" s="987"/>
      <c r="F61" s="261"/>
      <c r="G61" s="261"/>
      <c r="H61" s="261"/>
      <c r="I61" s="261"/>
      <c r="J61" s="261"/>
      <c r="K61" s="261"/>
      <c r="L61" s="261"/>
      <c r="M61" s="261"/>
      <c r="N61" s="261"/>
      <c r="O61" s="261"/>
      <c r="P61" s="261"/>
      <c r="Q61" s="261"/>
      <c r="R61" s="261"/>
      <c r="S61" s="261"/>
      <c r="T61" s="262"/>
      <c r="U61" s="261"/>
      <c r="V61" s="261"/>
      <c r="W61" s="261"/>
      <c r="X61" s="261"/>
      <c r="Y61" s="261"/>
      <c r="Z61" s="261"/>
      <c r="AA61" s="261"/>
      <c r="AB61" s="984"/>
      <c r="AC61" s="266"/>
      <c r="AD61" s="266"/>
      <c r="AE61" s="266"/>
      <c r="AF61" s="266"/>
      <c r="AG61" s="44"/>
      <c r="AH61" s="44"/>
      <c r="AI61" s="44"/>
      <c r="AJ61" s="44"/>
      <c r="AK61" s="44"/>
      <c r="AL61" s="44"/>
      <c r="AM61" s="44"/>
      <c r="AN61" s="44"/>
      <c r="AO61" s="44"/>
      <c r="AP61" s="44"/>
    </row>
    <row r="62" spans="1:42">
      <c r="A62" s="983"/>
      <c r="B62" s="983" t="s">
        <v>532</v>
      </c>
      <c r="C62" s="976"/>
      <c r="D62" s="976"/>
      <c r="E62" s="987"/>
      <c r="F62" s="261"/>
      <c r="G62" s="261"/>
      <c r="H62" s="261"/>
      <c r="I62" s="261"/>
      <c r="J62" s="261"/>
      <c r="K62" s="261"/>
      <c r="L62" s="261"/>
      <c r="M62" s="261"/>
      <c r="N62" s="261"/>
      <c r="O62" s="261"/>
      <c r="P62" s="261"/>
      <c r="Q62" s="261"/>
      <c r="R62" s="261"/>
      <c r="S62" s="261"/>
      <c r="T62" s="262"/>
      <c r="U62" s="261"/>
      <c r="V62" s="261"/>
      <c r="W62" s="261"/>
      <c r="X62" s="261"/>
      <c r="Y62" s="261"/>
      <c r="Z62" s="261"/>
      <c r="AA62" s="261"/>
      <c r="AB62" s="984"/>
      <c r="AC62" s="266"/>
      <c r="AD62" s="266"/>
      <c r="AE62" s="266"/>
      <c r="AF62" s="266"/>
      <c r="AG62" s="44"/>
      <c r="AH62" s="44"/>
      <c r="AI62" s="44"/>
      <c r="AJ62" s="44"/>
      <c r="AK62" s="44"/>
      <c r="AL62" s="44"/>
      <c r="AM62" s="44"/>
      <c r="AN62" s="44"/>
      <c r="AO62" s="44"/>
      <c r="AP62" s="44"/>
    </row>
    <row r="63" spans="1:42">
      <c r="A63" s="983"/>
      <c r="B63" s="983" t="s">
        <v>533</v>
      </c>
      <c r="C63" s="976"/>
      <c r="D63" s="976"/>
      <c r="E63" s="987"/>
      <c r="F63" s="261"/>
      <c r="G63" s="261"/>
      <c r="H63" s="261"/>
      <c r="I63" s="261"/>
      <c r="J63" s="261"/>
      <c r="K63" s="261"/>
      <c r="L63" s="261"/>
      <c r="M63" s="261"/>
      <c r="N63" s="261"/>
      <c r="O63" s="261"/>
      <c r="P63" s="261"/>
      <c r="Q63" s="261"/>
      <c r="R63" s="261"/>
      <c r="S63" s="261"/>
      <c r="T63" s="262"/>
      <c r="U63" s="261"/>
      <c r="V63" s="261"/>
      <c r="W63" s="261"/>
      <c r="X63" s="261"/>
      <c r="Y63" s="261"/>
      <c r="Z63" s="261"/>
      <c r="AA63" s="261"/>
      <c r="AB63" s="984"/>
      <c r="AC63" s="266"/>
      <c r="AD63" s="266"/>
      <c r="AE63" s="266"/>
      <c r="AF63" s="266"/>
      <c r="AG63" s="44"/>
      <c r="AH63" s="44"/>
      <c r="AI63" s="44"/>
      <c r="AJ63" s="44"/>
      <c r="AK63" s="44"/>
      <c r="AL63" s="44"/>
      <c r="AM63" s="44"/>
      <c r="AN63" s="44"/>
      <c r="AO63" s="44"/>
      <c r="AP63" s="44"/>
    </row>
    <row r="64" spans="1:42">
      <c r="A64" s="983"/>
      <c r="B64" s="983" t="s">
        <v>534</v>
      </c>
      <c r="C64" s="976"/>
      <c r="D64" s="976"/>
      <c r="E64" s="987"/>
      <c r="F64" s="261"/>
      <c r="G64" s="261"/>
      <c r="H64" s="261"/>
      <c r="I64" s="261"/>
      <c r="J64" s="261"/>
      <c r="K64" s="261"/>
      <c r="L64" s="261"/>
      <c r="M64" s="261"/>
      <c r="N64" s="261"/>
      <c r="O64" s="261"/>
      <c r="P64" s="261"/>
      <c r="Q64" s="261"/>
      <c r="R64" s="261"/>
      <c r="S64" s="261"/>
      <c r="T64" s="262"/>
      <c r="U64" s="261"/>
      <c r="V64" s="261"/>
      <c r="W64" s="261"/>
      <c r="X64" s="261"/>
      <c r="Y64" s="261"/>
      <c r="Z64" s="261"/>
      <c r="AA64" s="261"/>
      <c r="AB64" s="984"/>
      <c r="AC64" s="266"/>
      <c r="AD64" s="266"/>
      <c r="AE64" s="266"/>
      <c r="AF64" s="266"/>
      <c r="AG64" s="44"/>
      <c r="AH64" s="44"/>
      <c r="AI64" s="44"/>
      <c r="AJ64" s="44"/>
      <c r="AK64" s="44"/>
      <c r="AL64" s="44"/>
      <c r="AM64" s="44"/>
      <c r="AN64" s="44"/>
      <c r="AO64" s="44"/>
      <c r="AP64" s="44"/>
    </row>
    <row r="65" spans="1:42">
      <c r="A65" s="983"/>
      <c r="B65" s="983" t="s">
        <v>535</v>
      </c>
      <c r="C65" s="976"/>
      <c r="D65" s="976"/>
      <c r="E65" s="987"/>
      <c r="F65" s="261"/>
      <c r="G65" s="261"/>
      <c r="H65" s="261"/>
      <c r="I65" s="261"/>
      <c r="J65" s="261"/>
      <c r="K65" s="261"/>
      <c r="L65" s="261"/>
      <c r="M65" s="261"/>
      <c r="N65" s="261"/>
      <c r="O65" s="261"/>
      <c r="P65" s="261"/>
      <c r="Q65" s="261"/>
      <c r="R65" s="261"/>
      <c r="S65" s="261"/>
      <c r="T65" s="262"/>
      <c r="U65" s="261"/>
      <c r="V65" s="261"/>
      <c r="W65" s="261"/>
      <c r="X65" s="261"/>
      <c r="Y65" s="261"/>
      <c r="Z65" s="261"/>
      <c r="AA65" s="261"/>
      <c r="AB65" s="984"/>
      <c r="AC65" s="266"/>
      <c r="AD65" s="266"/>
      <c r="AE65" s="266"/>
      <c r="AF65" s="266"/>
      <c r="AG65" s="44"/>
      <c r="AH65" s="44"/>
      <c r="AI65" s="44"/>
      <c r="AJ65" s="44"/>
      <c r="AK65" s="44"/>
      <c r="AL65" s="44"/>
      <c r="AM65" s="44"/>
      <c r="AN65" s="44"/>
      <c r="AO65" s="44"/>
      <c r="AP65" s="44"/>
    </row>
    <row r="66" spans="1:42">
      <c r="A66" s="983"/>
      <c r="B66" s="983" t="s">
        <v>536</v>
      </c>
      <c r="C66" s="976"/>
      <c r="D66" s="976"/>
      <c r="E66" s="987"/>
      <c r="F66" s="261"/>
      <c r="G66" s="261"/>
      <c r="H66" s="261"/>
      <c r="I66" s="261"/>
      <c r="J66" s="261"/>
      <c r="K66" s="261"/>
      <c r="L66" s="261"/>
      <c r="M66" s="261"/>
      <c r="N66" s="261"/>
      <c r="O66" s="261"/>
      <c r="P66" s="261"/>
      <c r="Q66" s="261"/>
      <c r="R66" s="261"/>
      <c r="S66" s="261"/>
      <c r="T66" s="262"/>
      <c r="U66" s="261"/>
      <c r="V66" s="261"/>
      <c r="W66" s="261"/>
      <c r="X66" s="261"/>
      <c r="Y66" s="261"/>
      <c r="Z66" s="261"/>
      <c r="AA66" s="261"/>
      <c r="AB66" s="984"/>
      <c r="AC66" s="266"/>
      <c r="AD66" s="266"/>
      <c r="AE66" s="266"/>
      <c r="AF66" s="266"/>
      <c r="AG66" s="44"/>
      <c r="AH66" s="44"/>
      <c r="AI66" s="44"/>
      <c r="AJ66" s="44"/>
      <c r="AK66" s="44"/>
      <c r="AL66" s="44"/>
      <c r="AM66" s="44"/>
      <c r="AN66" s="44"/>
      <c r="AO66" s="44"/>
      <c r="AP66" s="44"/>
    </row>
    <row r="67" spans="1:42">
      <c r="A67" s="983"/>
      <c r="B67" s="983" t="s">
        <v>537</v>
      </c>
      <c r="C67" s="976"/>
      <c r="D67" s="976"/>
      <c r="E67" s="987"/>
      <c r="F67" s="261"/>
      <c r="G67" s="261"/>
      <c r="H67" s="261"/>
      <c r="I67" s="261"/>
      <c r="J67" s="261"/>
      <c r="K67" s="261"/>
      <c r="L67" s="261"/>
      <c r="M67" s="261"/>
      <c r="N67" s="261"/>
      <c r="O67" s="261"/>
      <c r="P67" s="261"/>
      <c r="Q67" s="261"/>
      <c r="R67" s="261"/>
      <c r="S67" s="261"/>
      <c r="T67" s="262"/>
      <c r="U67" s="261"/>
      <c r="V67" s="261"/>
      <c r="W67" s="261"/>
      <c r="X67" s="261"/>
      <c r="Y67" s="261"/>
      <c r="Z67" s="261"/>
      <c r="AA67" s="261"/>
      <c r="AB67" s="984"/>
      <c r="AC67" s="266"/>
      <c r="AD67" s="266"/>
      <c r="AE67" s="266"/>
      <c r="AF67" s="266"/>
      <c r="AG67" s="44"/>
      <c r="AH67" s="44"/>
      <c r="AI67" s="44"/>
      <c r="AJ67" s="44"/>
      <c r="AK67" s="44"/>
      <c r="AL67" s="44"/>
      <c r="AM67" s="44"/>
      <c r="AN67" s="44"/>
      <c r="AO67" s="44"/>
      <c r="AP67" s="44"/>
    </row>
    <row r="68" spans="1:42">
      <c r="A68" s="983"/>
      <c r="B68" s="983" t="s">
        <v>538</v>
      </c>
      <c r="C68" s="976"/>
      <c r="D68" s="976"/>
      <c r="E68" s="987"/>
      <c r="F68" s="261"/>
      <c r="G68" s="261"/>
      <c r="H68" s="261"/>
      <c r="I68" s="261"/>
      <c r="J68" s="261"/>
      <c r="K68" s="261"/>
      <c r="L68" s="261"/>
      <c r="M68" s="261"/>
      <c r="N68" s="261"/>
      <c r="O68" s="261"/>
      <c r="P68" s="261"/>
      <c r="Q68" s="261"/>
      <c r="R68" s="261"/>
      <c r="S68" s="261"/>
      <c r="T68" s="262"/>
      <c r="U68" s="261"/>
      <c r="V68" s="261"/>
      <c r="W68" s="261"/>
      <c r="X68" s="261"/>
      <c r="Y68" s="261"/>
      <c r="Z68" s="261"/>
      <c r="AA68" s="261"/>
      <c r="AB68" s="984"/>
      <c r="AC68" s="266"/>
      <c r="AD68" s="266"/>
      <c r="AE68" s="266"/>
      <c r="AF68" s="266"/>
      <c r="AG68" s="44"/>
      <c r="AH68" s="44"/>
      <c r="AI68" s="44"/>
      <c r="AJ68" s="44"/>
      <c r="AK68" s="44"/>
      <c r="AL68" s="44"/>
      <c r="AM68" s="44"/>
      <c r="AN68" s="44"/>
      <c r="AO68" s="44"/>
      <c r="AP68" s="44"/>
    </row>
    <row r="69" spans="1:42">
      <c r="A69" s="983"/>
      <c r="B69" s="983" t="s">
        <v>539</v>
      </c>
      <c r="C69" s="976"/>
      <c r="D69" s="976"/>
      <c r="E69" s="987"/>
      <c r="F69" s="261"/>
      <c r="G69" s="261"/>
      <c r="H69" s="261"/>
      <c r="I69" s="261"/>
      <c r="J69" s="261"/>
      <c r="K69" s="261"/>
      <c r="L69" s="261"/>
      <c r="M69" s="261"/>
      <c r="N69" s="261"/>
      <c r="O69" s="261"/>
      <c r="P69" s="261"/>
      <c r="Q69" s="261"/>
      <c r="R69" s="261"/>
      <c r="S69" s="261"/>
      <c r="T69" s="262"/>
      <c r="U69" s="261"/>
      <c r="V69" s="261"/>
      <c r="W69" s="261"/>
      <c r="X69" s="261"/>
      <c r="Y69" s="261"/>
      <c r="Z69" s="261"/>
      <c r="AA69" s="261"/>
      <c r="AB69" s="984"/>
      <c r="AC69" s="266"/>
      <c r="AD69" s="266"/>
      <c r="AE69" s="266"/>
      <c r="AF69" s="266"/>
      <c r="AG69" s="44"/>
      <c r="AH69" s="44"/>
      <c r="AI69" s="44"/>
      <c r="AJ69" s="44"/>
      <c r="AK69" s="44"/>
      <c r="AL69" s="44"/>
      <c r="AM69" s="44"/>
      <c r="AN69" s="44"/>
      <c r="AO69" s="44"/>
      <c r="AP69" s="44"/>
    </row>
    <row r="70" spans="1:42">
      <c r="A70" s="983"/>
      <c r="B70" s="983" t="s">
        <v>540</v>
      </c>
      <c r="C70" s="976"/>
      <c r="D70" s="976"/>
      <c r="E70" s="987"/>
      <c r="F70" s="261"/>
      <c r="G70" s="261"/>
      <c r="H70" s="261"/>
      <c r="I70" s="261"/>
      <c r="J70" s="261"/>
      <c r="K70" s="261"/>
      <c r="L70" s="261"/>
      <c r="M70" s="261"/>
      <c r="N70" s="261"/>
      <c r="O70" s="261"/>
      <c r="P70" s="261"/>
      <c r="Q70" s="261"/>
      <c r="R70" s="261"/>
      <c r="S70" s="261"/>
      <c r="T70" s="262"/>
      <c r="U70" s="261"/>
      <c r="V70" s="261"/>
      <c r="W70" s="261"/>
      <c r="X70" s="261"/>
      <c r="Y70" s="261"/>
      <c r="Z70" s="261"/>
      <c r="AA70" s="261"/>
      <c r="AB70" s="984"/>
      <c r="AC70" s="266"/>
      <c r="AD70" s="266"/>
      <c r="AE70" s="266"/>
      <c r="AF70" s="266"/>
      <c r="AG70" s="44"/>
      <c r="AH70" s="44"/>
      <c r="AI70" s="44"/>
      <c r="AJ70" s="44"/>
      <c r="AK70" s="44"/>
      <c r="AL70" s="44"/>
      <c r="AM70" s="44"/>
      <c r="AN70" s="44"/>
      <c r="AO70" s="44"/>
      <c r="AP70" s="44"/>
    </row>
    <row r="71" spans="1:42">
      <c r="A71" s="975"/>
      <c r="B71" s="975"/>
      <c r="C71" s="976"/>
      <c r="D71" s="976"/>
      <c r="E71" s="987"/>
      <c r="F71" s="261"/>
      <c r="G71" s="261"/>
      <c r="H71" s="261"/>
      <c r="I71" s="261"/>
      <c r="J71" s="261"/>
      <c r="K71" s="261"/>
      <c r="L71" s="261"/>
      <c r="M71" s="261"/>
      <c r="N71" s="261"/>
      <c r="O71" s="261"/>
      <c r="P71" s="261"/>
      <c r="Q71" s="261"/>
      <c r="R71" s="261"/>
      <c r="S71" s="261"/>
      <c r="T71" s="262"/>
      <c r="U71" s="261"/>
      <c r="V71" s="261"/>
      <c r="W71" s="261"/>
      <c r="X71" s="261"/>
      <c r="Y71" s="261"/>
      <c r="Z71" s="261"/>
      <c r="AA71" s="261"/>
      <c r="AB71" s="984"/>
      <c r="AC71" s="266"/>
      <c r="AD71" s="266"/>
      <c r="AE71" s="266"/>
      <c r="AF71" s="266"/>
      <c r="AG71" s="44"/>
      <c r="AH71" s="44"/>
      <c r="AI71" s="44"/>
      <c r="AJ71" s="44"/>
      <c r="AK71" s="44"/>
      <c r="AL71" s="44"/>
      <c r="AM71" s="44"/>
      <c r="AN71" s="44"/>
      <c r="AO71" s="44"/>
      <c r="AP71" s="44"/>
    </row>
    <row r="72" spans="1:42">
      <c r="A72" s="975"/>
      <c r="B72" s="975"/>
      <c r="C72" s="976"/>
      <c r="D72" s="976"/>
      <c r="E72" s="987"/>
      <c r="F72" s="261"/>
      <c r="G72" s="261"/>
      <c r="H72" s="261"/>
      <c r="I72" s="261"/>
      <c r="J72" s="261"/>
      <c r="K72" s="261"/>
      <c r="L72" s="261"/>
      <c r="M72" s="261"/>
      <c r="N72" s="261"/>
      <c r="O72" s="261"/>
      <c r="P72" s="261"/>
      <c r="Q72" s="261"/>
      <c r="R72" s="261"/>
      <c r="S72" s="261"/>
      <c r="T72" s="262"/>
      <c r="U72" s="261"/>
      <c r="V72" s="261"/>
      <c r="W72" s="261"/>
      <c r="X72" s="261"/>
      <c r="Y72" s="261"/>
      <c r="Z72" s="261"/>
      <c r="AA72" s="261"/>
      <c r="AB72" s="984"/>
      <c r="AC72" s="266"/>
      <c r="AD72" s="266"/>
      <c r="AE72" s="266"/>
      <c r="AF72" s="266"/>
      <c r="AG72" s="44"/>
      <c r="AH72" s="44"/>
      <c r="AI72" s="44"/>
      <c r="AJ72" s="44"/>
      <c r="AK72" s="44"/>
      <c r="AL72" s="44"/>
      <c r="AM72" s="44"/>
      <c r="AN72" s="44"/>
      <c r="AO72" s="44"/>
      <c r="AP72" s="44"/>
    </row>
    <row r="73" spans="1:42">
      <c r="A73" s="975"/>
      <c r="B73" s="975"/>
      <c r="C73" s="976"/>
      <c r="D73" s="976"/>
      <c r="E73" s="987"/>
      <c r="F73" s="261"/>
      <c r="G73" s="261"/>
      <c r="H73" s="261"/>
      <c r="I73" s="261"/>
      <c r="J73" s="261"/>
      <c r="K73" s="261"/>
      <c r="L73" s="261"/>
      <c r="M73" s="261"/>
      <c r="N73" s="261"/>
      <c r="O73" s="261"/>
      <c r="P73" s="261"/>
      <c r="Q73" s="261"/>
      <c r="R73" s="261"/>
      <c r="S73" s="261"/>
      <c r="T73" s="262"/>
      <c r="U73" s="261"/>
      <c r="V73" s="261"/>
      <c r="W73" s="261"/>
      <c r="X73" s="261"/>
      <c r="Y73" s="261"/>
      <c r="Z73" s="261"/>
      <c r="AA73" s="261"/>
      <c r="AB73" s="984"/>
      <c r="AC73" s="266"/>
      <c r="AD73" s="266"/>
      <c r="AE73" s="266"/>
      <c r="AF73" s="266"/>
      <c r="AG73" s="44"/>
      <c r="AH73" s="44"/>
      <c r="AI73" s="44"/>
      <c r="AJ73" s="44"/>
      <c r="AK73" s="44"/>
      <c r="AL73" s="44"/>
      <c r="AM73" s="44"/>
      <c r="AN73" s="44"/>
      <c r="AO73" s="44"/>
      <c r="AP73" s="44"/>
    </row>
    <row r="74" spans="1:42">
      <c r="A74" s="975"/>
      <c r="B74" s="975"/>
      <c r="C74" s="976"/>
      <c r="D74" s="976"/>
      <c r="E74" s="987"/>
      <c r="F74" s="261"/>
      <c r="G74" s="261"/>
      <c r="H74" s="261"/>
      <c r="I74" s="261"/>
      <c r="J74" s="261"/>
      <c r="K74" s="261"/>
      <c r="L74" s="261"/>
      <c r="M74" s="261"/>
      <c r="N74" s="261"/>
      <c r="O74" s="261"/>
      <c r="P74" s="261"/>
      <c r="Q74" s="261"/>
      <c r="R74" s="261"/>
      <c r="S74" s="261"/>
      <c r="T74" s="262"/>
      <c r="U74" s="261"/>
      <c r="V74" s="261"/>
      <c r="W74" s="261"/>
      <c r="X74" s="261"/>
      <c r="Y74" s="261"/>
      <c r="Z74" s="261"/>
      <c r="AA74" s="261"/>
      <c r="AB74" s="984"/>
      <c r="AC74" s="266"/>
      <c r="AD74" s="266"/>
      <c r="AE74" s="266"/>
      <c r="AF74" s="266"/>
      <c r="AG74" s="44"/>
      <c r="AH74" s="44"/>
      <c r="AI74" s="44"/>
      <c r="AJ74" s="44"/>
      <c r="AK74" s="44"/>
      <c r="AL74" s="44"/>
      <c r="AM74" s="44"/>
      <c r="AN74" s="44"/>
      <c r="AO74" s="44"/>
      <c r="AP74" s="44"/>
    </row>
    <row r="75" spans="1:42">
      <c r="A75" s="975"/>
      <c r="B75" s="975"/>
      <c r="C75" s="976"/>
      <c r="D75" s="976"/>
      <c r="E75" s="987"/>
      <c r="F75" s="261"/>
      <c r="G75" s="261"/>
      <c r="H75" s="261"/>
      <c r="I75" s="261"/>
      <c r="J75" s="261"/>
      <c r="K75" s="261"/>
      <c r="L75" s="261"/>
      <c r="M75" s="261"/>
      <c r="N75" s="261"/>
      <c r="O75" s="261"/>
      <c r="P75" s="261"/>
      <c r="Q75" s="261"/>
      <c r="R75" s="261"/>
      <c r="S75" s="261"/>
      <c r="T75" s="262"/>
      <c r="U75" s="261"/>
      <c r="V75" s="261"/>
      <c r="W75" s="261"/>
      <c r="X75" s="261"/>
      <c r="Y75" s="261"/>
      <c r="Z75" s="261"/>
      <c r="AA75" s="261"/>
      <c r="AB75" s="984"/>
      <c r="AC75" s="266"/>
      <c r="AD75" s="266"/>
      <c r="AE75" s="266"/>
      <c r="AF75" s="266"/>
      <c r="AG75" s="44"/>
      <c r="AH75" s="44"/>
      <c r="AI75" s="44"/>
      <c r="AJ75" s="44"/>
      <c r="AK75" s="44"/>
      <c r="AL75" s="44"/>
      <c r="AM75" s="44"/>
      <c r="AN75" s="44"/>
      <c r="AO75" s="44"/>
      <c r="AP75" s="44"/>
    </row>
    <row r="76" spans="1:42">
      <c r="A76" s="975"/>
      <c r="B76" s="975"/>
      <c r="C76" s="976"/>
      <c r="D76" s="976"/>
      <c r="E76" s="987"/>
      <c r="F76" s="261"/>
      <c r="G76" s="261"/>
      <c r="H76" s="261"/>
      <c r="I76" s="261"/>
      <c r="J76" s="261"/>
      <c r="K76" s="261"/>
      <c r="L76" s="261"/>
      <c r="M76" s="261"/>
      <c r="N76" s="261"/>
      <c r="O76" s="261"/>
      <c r="P76" s="261"/>
      <c r="Q76" s="261"/>
      <c r="R76" s="261"/>
      <c r="S76" s="261"/>
      <c r="T76" s="262"/>
      <c r="U76" s="261"/>
      <c r="V76" s="261"/>
      <c r="W76" s="261"/>
      <c r="X76" s="261"/>
      <c r="Y76" s="261"/>
      <c r="Z76" s="261"/>
      <c r="AA76" s="261"/>
      <c r="AB76" s="984"/>
      <c r="AC76" s="266"/>
      <c r="AD76" s="266"/>
      <c r="AE76" s="266"/>
      <c r="AF76" s="266"/>
      <c r="AG76" s="44"/>
      <c r="AH76" s="44"/>
      <c r="AI76" s="44"/>
      <c r="AJ76" s="44"/>
      <c r="AK76" s="44"/>
      <c r="AL76" s="44"/>
      <c r="AM76" s="44"/>
      <c r="AN76" s="44"/>
      <c r="AO76" s="44"/>
      <c r="AP76" s="44"/>
    </row>
    <row r="77" spans="1:42">
      <c r="A77" s="975"/>
      <c r="B77" s="975"/>
      <c r="C77" s="976"/>
      <c r="D77" s="976"/>
      <c r="E77" s="987"/>
      <c r="F77" s="261"/>
      <c r="G77" s="261"/>
      <c r="H77" s="261"/>
      <c r="I77" s="261"/>
      <c r="J77" s="261"/>
      <c r="K77" s="261"/>
      <c r="L77" s="261"/>
      <c r="M77" s="261"/>
      <c r="N77" s="261"/>
      <c r="O77" s="261"/>
      <c r="P77" s="261"/>
      <c r="Q77" s="261"/>
      <c r="R77" s="261"/>
      <c r="S77" s="261"/>
      <c r="T77" s="262"/>
      <c r="U77" s="261"/>
      <c r="V77" s="261"/>
      <c r="W77" s="261"/>
      <c r="X77" s="261"/>
      <c r="Y77" s="261"/>
      <c r="Z77" s="261"/>
      <c r="AA77" s="261"/>
      <c r="AB77" s="984"/>
      <c r="AC77" s="266"/>
      <c r="AD77" s="266"/>
      <c r="AE77" s="266"/>
      <c r="AF77" s="266"/>
      <c r="AG77" s="44"/>
      <c r="AH77" s="44"/>
      <c r="AI77" s="44"/>
      <c r="AJ77" s="44"/>
      <c r="AK77" s="44"/>
      <c r="AL77" s="44"/>
      <c r="AM77" s="44"/>
      <c r="AN77" s="44"/>
      <c r="AO77" s="44"/>
      <c r="AP77" s="44"/>
    </row>
    <row r="78" spans="1:42">
      <c r="A78" s="975"/>
      <c r="B78" s="975"/>
      <c r="C78" s="976"/>
      <c r="D78" s="976"/>
      <c r="E78" s="987"/>
      <c r="F78" s="261"/>
      <c r="G78" s="261"/>
      <c r="H78" s="261"/>
      <c r="I78" s="261"/>
      <c r="J78" s="261"/>
      <c r="K78" s="261"/>
      <c r="L78" s="261"/>
      <c r="M78" s="261"/>
      <c r="N78" s="261"/>
      <c r="O78" s="261"/>
      <c r="P78" s="261"/>
      <c r="Q78" s="261"/>
      <c r="R78" s="261"/>
      <c r="S78" s="261"/>
      <c r="T78" s="262"/>
      <c r="U78" s="261"/>
      <c r="V78" s="261"/>
      <c r="W78" s="261"/>
      <c r="X78" s="261"/>
      <c r="Y78" s="261"/>
      <c r="Z78" s="261"/>
      <c r="AA78" s="261"/>
      <c r="AB78" s="984"/>
      <c r="AC78" s="266"/>
      <c r="AD78" s="266"/>
      <c r="AE78" s="266"/>
      <c r="AF78" s="266"/>
      <c r="AG78" s="44"/>
      <c r="AH78" s="44"/>
      <c r="AI78" s="44"/>
      <c r="AJ78" s="44"/>
      <c r="AK78" s="44"/>
      <c r="AL78" s="44"/>
      <c r="AM78" s="44"/>
      <c r="AN78" s="44"/>
      <c r="AO78" s="44"/>
      <c r="AP78" s="44"/>
    </row>
    <row r="79" spans="1:42">
      <c r="C79" s="261"/>
      <c r="D79" s="261"/>
      <c r="E79" s="342"/>
      <c r="F79" s="261"/>
      <c r="G79" s="261"/>
      <c r="H79" s="261"/>
      <c r="I79" s="261"/>
      <c r="J79" s="261"/>
      <c r="K79" s="261"/>
      <c r="L79" s="261"/>
      <c r="M79" s="261"/>
      <c r="N79" s="261"/>
      <c r="O79" s="261"/>
      <c r="P79" s="261"/>
      <c r="Q79" s="261"/>
      <c r="R79" s="261"/>
      <c r="S79" s="261"/>
      <c r="T79" s="262"/>
      <c r="U79" s="261"/>
      <c r="V79" s="261"/>
      <c r="W79" s="261"/>
      <c r="X79" s="261"/>
      <c r="Y79" s="261"/>
      <c r="Z79" s="261"/>
      <c r="AA79" s="261"/>
      <c r="AB79" s="984"/>
      <c r="AC79" s="266"/>
      <c r="AD79" s="266"/>
      <c r="AE79" s="266"/>
      <c r="AF79" s="266"/>
      <c r="AG79" s="44"/>
      <c r="AH79" s="44"/>
      <c r="AI79" s="44"/>
      <c r="AJ79" s="44"/>
      <c r="AK79" s="44"/>
      <c r="AL79" s="44"/>
      <c r="AM79" s="44"/>
      <c r="AN79" s="44"/>
      <c r="AO79" s="44"/>
      <c r="AP79" s="44"/>
    </row>
    <row r="80" spans="1:42">
      <c r="C80" s="261"/>
      <c r="D80" s="261"/>
      <c r="E80" s="342"/>
      <c r="F80" s="261"/>
      <c r="G80" s="261"/>
      <c r="H80" s="261"/>
      <c r="I80" s="261"/>
      <c r="J80" s="261"/>
      <c r="K80" s="261"/>
      <c r="L80" s="261"/>
      <c r="M80" s="261"/>
      <c r="N80" s="261"/>
      <c r="O80" s="261"/>
      <c r="P80" s="261"/>
      <c r="Q80" s="261"/>
      <c r="R80" s="261"/>
      <c r="S80" s="261"/>
      <c r="T80" s="262"/>
      <c r="U80" s="261"/>
      <c r="V80" s="261"/>
      <c r="W80" s="261"/>
      <c r="X80" s="261"/>
      <c r="Y80" s="261"/>
      <c r="Z80" s="261"/>
      <c r="AA80" s="261"/>
      <c r="AB80" s="984"/>
      <c r="AC80" s="266"/>
      <c r="AD80" s="266"/>
      <c r="AE80" s="266"/>
      <c r="AF80" s="266"/>
      <c r="AG80" s="44"/>
      <c r="AH80" s="44"/>
      <c r="AI80" s="44"/>
      <c r="AJ80" s="44"/>
      <c r="AK80" s="44"/>
      <c r="AL80" s="44"/>
      <c r="AM80" s="44"/>
      <c r="AN80" s="44"/>
      <c r="AO80" s="44"/>
      <c r="AP80" s="44"/>
    </row>
    <row r="81" spans="3:42">
      <c r="C81" s="261"/>
      <c r="D81" s="261"/>
      <c r="E81" s="342"/>
      <c r="F81" s="261"/>
      <c r="G81" s="261"/>
      <c r="H81" s="261"/>
      <c r="I81" s="261"/>
      <c r="J81" s="261"/>
      <c r="K81" s="261"/>
      <c r="L81" s="261"/>
      <c r="M81" s="261"/>
      <c r="N81" s="261"/>
      <c r="O81" s="261"/>
      <c r="P81" s="261"/>
      <c r="Q81" s="261"/>
      <c r="R81" s="261"/>
      <c r="S81" s="261"/>
      <c r="T81" s="262"/>
      <c r="U81" s="261"/>
      <c r="V81" s="261"/>
      <c r="W81" s="261"/>
      <c r="X81" s="261"/>
      <c r="Y81" s="261"/>
      <c r="Z81" s="261"/>
      <c r="AA81" s="261"/>
      <c r="AB81" s="984"/>
      <c r="AC81" s="266"/>
      <c r="AD81" s="266"/>
      <c r="AE81" s="266"/>
      <c r="AF81" s="266"/>
      <c r="AG81" s="44"/>
      <c r="AH81" s="44"/>
      <c r="AI81" s="44"/>
      <c r="AJ81" s="44"/>
      <c r="AK81" s="44"/>
      <c r="AL81" s="44"/>
      <c r="AM81" s="44"/>
      <c r="AN81" s="44"/>
      <c r="AO81" s="44"/>
      <c r="AP81" s="44"/>
    </row>
    <row r="82" spans="3:42">
      <c r="C82" s="261"/>
      <c r="D82" s="261"/>
      <c r="E82" s="342"/>
      <c r="F82" s="261"/>
      <c r="G82" s="261"/>
      <c r="H82" s="261"/>
      <c r="I82" s="261"/>
      <c r="J82" s="261"/>
      <c r="K82" s="261"/>
      <c r="L82" s="261"/>
      <c r="M82" s="261"/>
      <c r="N82" s="261"/>
      <c r="O82" s="261"/>
      <c r="P82" s="261"/>
      <c r="Q82" s="261"/>
      <c r="R82" s="261"/>
      <c r="S82" s="261"/>
      <c r="T82" s="262"/>
      <c r="U82" s="261"/>
      <c r="V82" s="261"/>
      <c r="W82" s="261"/>
      <c r="X82" s="261"/>
      <c r="Y82" s="261"/>
      <c r="Z82" s="261"/>
      <c r="AA82" s="261"/>
      <c r="AB82" s="984"/>
      <c r="AC82" s="266"/>
      <c r="AD82" s="266"/>
      <c r="AE82" s="266"/>
      <c r="AF82" s="266"/>
      <c r="AG82" s="44"/>
      <c r="AH82" s="44"/>
      <c r="AI82" s="44"/>
      <c r="AJ82" s="44"/>
      <c r="AK82" s="44"/>
      <c r="AL82" s="44"/>
      <c r="AM82" s="44"/>
      <c r="AN82" s="44"/>
      <c r="AO82" s="44"/>
      <c r="AP82" s="44"/>
    </row>
    <row r="83" spans="3:42">
      <c r="C83" s="261"/>
      <c r="D83" s="261"/>
      <c r="E83" s="342"/>
      <c r="F83" s="261"/>
      <c r="G83" s="261"/>
      <c r="H83" s="261"/>
      <c r="I83" s="261"/>
      <c r="J83" s="261"/>
      <c r="K83" s="261"/>
      <c r="L83" s="261"/>
      <c r="M83" s="261"/>
      <c r="N83" s="261"/>
      <c r="O83" s="261"/>
      <c r="P83" s="261"/>
      <c r="Q83" s="261"/>
      <c r="R83" s="261"/>
      <c r="S83" s="261"/>
      <c r="T83" s="262"/>
      <c r="U83" s="261"/>
      <c r="V83" s="261"/>
      <c r="W83" s="261"/>
      <c r="X83" s="261"/>
      <c r="Y83" s="261"/>
      <c r="Z83" s="261"/>
      <c r="AA83" s="261"/>
      <c r="AB83" s="984"/>
      <c r="AC83" s="266"/>
      <c r="AD83" s="266"/>
      <c r="AE83" s="266"/>
      <c r="AF83" s="266"/>
      <c r="AG83" s="44"/>
      <c r="AH83" s="44"/>
      <c r="AI83" s="44"/>
      <c r="AJ83" s="44"/>
      <c r="AK83" s="44"/>
      <c r="AL83" s="44"/>
      <c r="AM83" s="44"/>
      <c r="AN83" s="44"/>
      <c r="AO83" s="44"/>
      <c r="AP83" s="44"/>
    </row>
    <row r="84" spans="3:42">
      <c r="C84" s="261"/>
      <c r="D84" s="261"/>
      <c r="E84" s="342"/>
      <c r="F84" s="261"/>
      <c r="G84" s="261"/>
      <c r="H84" s="261"/>
      <c r="I84" s="261"/>
      <c r="J84" s="261"/>
      <c r="K84" s="261"/>
      <c r="L84" s="261"/>
      <c r="M84" s="261"/>
      <c r="N84" s="261"/>
      <c r="O84" s="261"/>
      <c r="P84" s="261"/>
      <c r="Q84" s="261"/>
      <c r="R84" s="261"/>
      <c r="S84" s="261"/>
      <c r="T84" s="262"/>
      <c r="U84" s="261"/>
      <c r="V84" s="261"/>
      <c r="W84" s="261"/>
      <c r="X84" s="261"/>
      <c r="Y84" s="261"/>
      <c r="Z84" s="261"/>
      <c r="AA84" s="261"/>
      <c r="AB84" s="984"/>
      <c r="AC84" s="266"/>
      <c r="AD84" s="266"/>
      <c r="AE84" s="266"/>
      <c r="AF84" s="266"/>
      <c r="AG84" s="44"/>
      <c r="AH84" s="44"/>
      <c r="AI84" s="44"/>
      <c r="AJ84" s="44"/>
      <c r="AK84" s="44"/>
      <c r="AL84" s="44"/>
      <c r="AM84" s="44"/>
      <c r="AN84" s="44"/>
      <c r="AO84" s="44"/>
      <c r="AP84" s="44"/>
    </row>
    <row r="85" spans="3:42">
      <c r="C85" s="261"/>
      <c r="D85" s="261"/>
      <c r="E85" s="342"/>
      <c r="F85" s="261"/>
      <c r="G85" s="261"/>
      <c r="H85" s="261"/>
      <c r="I85" s="261"/>
      <c r="J85" s="261"/>
      <c r="K85" s="261"/>
      <c r="L85" s="261"/>
      <c r="M85" s="261"/>
      <c r="N85" s="261"/>
      <c r="O85" s="261"/>
      <c r="P85" s="261"/>
      <c r="Q85" s="261"/>
      <c r="R85" s="261"/>
      <c r="S85" s="261"/>
      <c r="T85" s="262"/>
      <c r="U85" s="261"/>
      <c r="V85" s="261"/>
      <c r="W85" s="261"/>
      <c r="X85" s="261"/>
      <c r="Y85" s="261"/>
      <c r="Z85" s="261"/>
      <c r="AA85" s="261"/>
      <c r="AB85" s="984"/>
      <c r="AC85" s="266"/>
      <c r="AD85" s="266"/>
      <c r="AE85" s="266"/>
      <c r="AF85" s="266"/>
      <c r="AG85" s="44"/>
      <c r="AH85" s="44"/>
      <c r="AI85" s="44"/>
      <c r="AJ85" s="44"/>
      <c r="AK85" s="44"/>
      <c r="AL85" s="44"/>
      <c r="AM85" s="44"/>
      <c r="AN85" s="44"/>
      <c r="AO85" s="44"/>
      <c r="AP85" s="44"/>
    </row>
    <row r="86" spans="3:42">
      <c r="C86" s="261"/>
      <c r="D86" s="261"/>
      <c r="E86" s="342"/>
      <c r="F86" s="261"/>
      <c r="G86" s="261"/>
      <c r="H86" s="261"/>
      <c r="I86" s="261"/>
      <c r="J86" s="261"/>
      <c r="K86" s="261"/>
      <c r="L86" s="261"/>
      <c r="M86" s="261"/>
      <c r="N86" s="261"/>
      <c r="O86" s="261"/>
      <c r="P86" s="261"/>
      <c r="Q86" s="261"/>
      <c r="R86" s="261"/>
      <c r="S86" s="261"/>
      <c r="T86" s="262"/>
      <c r="U86" s="261"/>
      <c r="V86" s="261"/>
      <c r="W86" s="261"/>
      <c r="X86" s="261"/>
      <c r="Y86" s="261"/>
      <c r="Z86" s="261"/>
      <c r="AA86" s="261"/>
      <c r="AB86" s="984"/>
      <c r="AC86" s="266"/>
      <c r="AD86" s="266"/>
      <c r="AE86" s="266"/>
      <c r="AF86" s="266"/>
      <c r="AG86" s="44"/>
      <c r="AH86" s="44"/>
      <c r="AI86" s="44"/>
      <c r="AJ86" s="44"/>
      <c r="AK86" s="44"/>
      <c r="AL86" s="44"/>
      <c r="AM86" s="44"/>
      <c r="AN86" s="44"/>
      <c r="AO86" s="44"/>
      <c r="AP86" s="44"/>
    </row>
    <row r="87" spans="3:42">
      <c r="C87" s="261"/>
      <c r="D87" s="261"/>
      <c r="E87" s="342"/>
      <c r="F87" s="261"/>
      <c r="G87" s="261"/>
      <c r="H87" s="261"/>
      <c r="I87" s="261"/>
      <c r="J87" s="261"/>
      <c r="K87" s="261"/>
      <c r="L87" s="261"/>
      <c r="M87" s="261"/>
      <c r="N87" s="261"/>
      <c r="O87" s="261"/>
      <c r="P87" s="261"/>
      <c r="Q87" s="261"/>
      <c r="R87" s="261"/>
      <c r="S87" s="261"/>
      <c r="T87" s="262"/>
      <c r="U87" s="261"/>
      <c r="V87" s="261"/>
      <c r="W87" s="261"/>
      <c r="X87" s="261"/>
      <c r="Y87" s="261"/>
      <c r="Z87" s="261"/>
      <c r="AA87" s="261"/>
      <c r="AB87" s="984"/>
      <c r="AC87" s="266"/>
      <c r="AD87" s="266"/>
      <c r="AE87" s="266"/>
      <c r="AF87" s="266"/>
      <c r="AG87" s="44"/>
      <c r="AH87" s="44"/>
      <c r="AI87" s="44"/>
      <c r="AJ87" s="44"/>
      <c r="AK87" s="44"/>
      <c r="AL87" s="44"/>
      <c r="AM87" s="44"/>
      <c r="AN87" s="44"/>
      <c r="AO87" s="44"/>
      <c r="AP87" s="44"/>
    </row>
    <row r="88" spans="3:42">
      <c r="C88" s="261"/>
      <c r="D88" s="261"/>
      <c r="E88" s="342"/>
      <c r="F88" s="261"/>
      <c r="G88" s="261"/>
      <c r="H88" s="261"/>
      <c r="I88" s="261"/>
      <c r="J88" s="261"/>
      <c r="K88" s="261"/>
      <c r="L88" s="261"/>
      <c r="M88" s="261"/>
      <c r="N88" s="261"/>
      <c r="O88" s="261"/>
      <c r="P88" s="261"/>
      <c r="Q88" s="261"/>
      <c r="R88" s="261"/>
      <c r="S88" s="261"/>
      <c r="T88" s="262"/>
      <c r="U88" s="261"/>
      <c r="V88" s="261"/>
      <c r="W88" s="261"/>
      <c r="X88" s="261"/>
      <c r="Y88" s="261"/>
      <c r="Z88" s="261"/>
      <c r="AA88" s="261"/>
      <c r="AB88" s="984"/>
      <c r="AC88" s="266"/>
      <c r="AD88" s="266"/>
      <c r="AE88" s="266"/>
      <c r="AF88" s="266"/>
      <c r="AG88" s="44"/>
      <c r="AH88" s="44"/>
      <c r="AI88" s="44"/>
      <c r="AJ88" s="44"/>
      <c r="AK88" s="44"/>
      <c r="AL88" s="44"/>
      <c r="AM88" s="44"/>
      <c r="AN88" s="44"/>
      <c r="AO88" s="44"/>
      <c r="AP88" s="44"/>
    </row>
    <row r="89" spans="3:42">
      <c r="C89" s="261"/>
      <c r="D89" s="261"/>
      <c r="E89" s="342"/>
      <c r="F89" s="261"/>
      <c r="G89" s="261"/>
      <c r="H89" s="261"/>
      <c r="I89" s="261"/>
      <c r="J89" s="261"/>
      <c r="K89" s="261"/>
      <c r="L89" s="261"/>
      <c r="M89" s="261"/>
      <c r="N89" s="261"/>
      <c r="O89" s="261"/>
      <c r="P89" s="261"/>
      <c r="Q89" s="261"/>
      <c r="R89" s="261"/>
      <c r="S89" s="261"/>
      <c r="T89" s="262"/>
      <c r="U89" s="261"/>
      <c r="V89" s="261"/>
      <c r="W89" s="261"/>
      <c r="X89" s="261"/>
      <c r="Y89" s="261"/>
      <c r="Z89" s="261"/>
      <c r="AA89" s="261"/>
      <c r="AB89" s="984"/>
      <c r="AC89" s="266"/>
      <c r="AD89" s="266"/>
      <c r="AE89" s="266"/>
      <c r="AF89" s="266"/>
      <c r="AG89" s="44"/>
      <c r="AH89" s="44"/>
      <c r="AI89" s="44"/>
      <c r="AJ89" s="44"/>
      <c r="AK89" s="44"/>
      <c r="AL89" s="44"/>
      <c r="AM89" s="44"/>
      <c r="AN89" s="44"/>
      <c r="AO89" s="44"/>
      <c r="AP89" s="44"/>
    </row>
    <row r="90" spans="3:42">
      <c r="C90" s="261"/>
      <c r="D90" s="261"/>
      <c r="E90" s="342"/>
      <c r="F90" s="261"/>
      <c r="G90" s="261"/>
      <c r="H90" s="261"/>
      <c r="I90" s="261"/>
      <c r="J90" s="261"/>
      <c r="K90" s="261"/>
      <c r="L90" s="261"/>
      <c r="M90" s="261"/>
      <c r="N90" s="261"/>
      <c r="O90" s="261"/>
      <c r="P90" s="261"/>
      <c r="Q90" s="261"/>
      <c r="R90" s="261"/>
      <c r="S90" s="261"/>
      <c r="T90" s="262"/>
      <c r="U90" s="261"/>
      <c r="V90" s="261"/>
      <c r="W90" s="261"/>
      <c r="X90" s="261"/>
      <c r="Y90" s="261"/>
      <c r="Z90" s="261"/>
      <c r="AA90" s="261"/>
      <c r="AB90" s="984"/>
      <c r="AC90" s="266"/>
      <c r="AD90" s="266"/>
      <c r="AE90" s="266"/>
      <c r="AF90" s="266"/>
      <c r="AG90" s="44"/>
      <c r="AH90" s="44"/>
      <c r="AI90" s="44"/>
      <c r="AJ90" s="44"/>
      <c r="AK90" s="44"/>
      <c r="AL90" s="44"/>
      <c r="AM90" s="44"/>
      <c r="AN90" s="44"/>
      <c r="AO90" s="44"/>
      <c r="AP90" s="44"/>
    </row>
    <row r="91" spans="3:42">
      <c r="C91" s="261"/>
      <c r="D91" s="261"/>
      <c r="E91" s="342"/>
      <c r="F91" s="261"/>
      <c r="G91" s="261"/>
      <c r="H91" s="261"/>
      <c r="I91" s="261"/>
      <c r="J91" s="261"/>
      <c r="K91" s="261"/>
      <c r="L91" s="261"/>
      <c r="M91" s="261"/>
      <c r="N91" s="261"/>
      <c r="O91" s="261"/>
      <c r="P91" s="261"/>
      <c r="Q91" s="261"/>
      <c r="R91" s="261"/>
      <c r="S91" s="261"/>
      <c r="T91" s="262"/>
      <c r="U91" s="261"/>
      <c r="V91" s="261"/>
      <c r="W91" s="261"/>
      <c r="X91" s="261"/>
      <c r="Y91" s="261"/>
      <c r="Z91" s="261"/>
      <c r="AA91" s="261"/>
      <c r="AB91" s="984"/>
      <c r="AC91" s="266"/>
      <c r="AD91" s="266"/>
      <c r="AE91" s="266"/>
      <c r="AF91" s="266"/>
      <c r="AG91" s="44"/>
      <c r="AH91" s="44"/>
      <c r="AI91" s="44"/>
      <c r="AJ91" s="44"/>
      <c r="AK91" s="44"/>
      <c r="AL91" s="44"/>
      <c r="AM91" s="44"/>
      <c r="AN91" s="44"/>
      <c r="AO91" s="44"/>
      <c r="AP91" s="44"/>
    </row>
    <row r="92" spans="3:42">
      <c r="C92" s="261"/>
      <c r="D92" s="261"/>
      <c r="E92" s="342"/>
      <c r="F92" s="261"/>
      <c r="G92" s="261"/>
      <c r="H92" s="261"/>
      <c r="I92" s="261"/>
      <c r="J92" s="261"/>
      <c r="K92" s="261"/>
      <c r="L92" s="261"/>
      <c r="M92" s="261"/>
      <c r="N92" s="261"/>
      <c r="O92" s="261"/>
      <c r="P92" s="261"/>
      <c r="Q92" s="261"/>
      <c r="R92" s="261"/>
      <c r="S92" s="261"/>
      <c r="T92" s="262"/>
      <c r="U92" s="261"/>
      <c r="V92" s="261"/>
      <c r="W92" s="261"/>
      <c r="X92" s="261"/>
      <c r="Y92" s="261"/>
      <c r="Z92" s="261"/>
      <c r="AA92" s="261"/>
      <c r="AB92" s="984"/>
      <c r="AC92" s="266"/>
      <c r="AD92" s="266"/>
      <c r="AE92" s="266"/>
      <c r="AF92" s="266"/>
      <c r="AG92" s="44"/>
      <c r="AH92" s="44"/>
      <c r="AI92" s="44"/>
      <c r="AJ92" s="44"/>
      <c r="AK92" s="44"/>
      <c r="AL92" s="44"/>
      <c r="AM92" s="44"/>
      <c r="AN92" s="44"/>
      <c r="AO92" s="44"/>
      <c r="AP92" s="44"/>
    </row>
    <row r="93" spans="3:42">
      <c r="C93" s="261"/>
      <c r="D93" s="261"/>
      <c r="E93" s="342"/>
      <c r="F93" s="261"/>
      <c r="G93" s="261"/>
      <c r="H93" s="261"/>
      <c r="I93" s="261"/>
      <c r="J93" s="261"/>
      <c r="K93" s="261"/>
      <c r="L93" s="261"/>
      <c r="M93" s="261"/>
      <c r="N93" s="261"/>
      <c r="O93" s="261"/>
      <c r="P93" s="261"/>
      <c r="Q93" s="261"/>
      <c r="R93" s="261"/>
      <c r="S93" s="261"/>
      <c r="T93" s="262"/>
      <c r="U93" s="261"/>
      <c r="V93" s="261"/>
      <c r="W93" s="261"/>
      <c r="X93" s="261"/>
      <c r="Y93" s="261"/>
      <c r="Z93" s="261"/>
      <c r="AA93" s="261"/>
      <c r="AB93" s="984"/>
      <c r="AC93" s="266"/>
      <c r="AD93" s="266"/>
      <c r="AE93" s="266"/>
      <c r="AF93" s="266"/>
      <c r="AG93" s="44"/>
      <c r="AH93" s="44"/>
      <c r="AI93" s="44"/>
      <c r="AJ93" s="44"/>
      <c r="AK93" s="44"/>
      <c r="AL93" s="44"/>
      <c r="AM93" s="44"/>
      <c r="AN93" s="44"/>
      <c r="AO93" s="44"/>
      <c r="AP93" s="44"/>
    </row>
    <row r="94" spans="3:42">
      <c r="C94" s="261"/>
      <c r="D94" s="261"/>
      <c r="E94" s="342"/>
      <c r="F94" s="261"/>
      <c r="G94" s="261"/>
      <c r="H94" s="261"/>
      <c r="I94" s="261"/>
      <c r="J94" s="261"/>
      <c r="K94" s="261"/>
      <c r="L94" s="261"/>
      <c r="M94" s="261"/>
      <c r="N94" s="261"/>
      <c r="O94" s="261"/>
      <c r="P94" s="261"/>
      <c r="Q94" s="261"/>
      <c r="R94" s="261"/>
      <c r="S94" s="261"/>
      <c r="T94" s="262"/>
      <c r="U94" s="261"/>
      <c r="V94" s="261"/>
      <c r="W94" s="261"/>
      <c r="X94" s="261"/>
      <c r="Y94" s="261"/>
      <c r="Z94" s="261"/>
      <c r="AA94" s="261"/>
      <c r="AB94" s="984"/>
      <c r="AC94" s="266"/>
      <c r="AD94" s="266"/>
      <c r="AE94" s="266"/>
      <c r="AF94" s="266"/>
      <c r="AG94" s="44"/>
      <c r="AH94" s="44"/>
      <c r="AI94" s="44"/>
      <c r="AJ94" s="44"/>
      <c r="AK94" s="44"/>
      <c r="AL94" s="44"/>
      <c r="AM94" s="44"/>
      <c r="AN94" s="44"/>
      <c r="AO94" s="44"/>
      <c r="AP94" s="44"/>
    </row>
    <row r="95" spans="3:42">
      <c r="C95" s="261"/>
      <c r="D95" s="261"/>
      <c r="E95" s="342"/>
      <c r="F95" s="261"/>
      <c r="G95" s="261"/>
      <c r="H95" s="261"/>
      <c r="I95" s="261"/>
      <c r="J95" s="261"/>
      <c r="K95" s="261"/>
      <c r="L95" s="261"/>
      <c r="M95" s="261"/>
      <c r="N95" s="261"/>
      <c r="O95" s="261"/>
      <c r="P95" s="261"/>
      <c r="Q95" s="261"/>
      <c r="R95" s="261"/>
      <c r="S95" s="261"/>
      <c r="T95" s="262"/>
      <c r="U95" s="261"/>
      <c r="V95" s="261"/>
      <c r="W95" s="261"/>
      <c r="X95" s="261"/>
      <c r="Y95" s="261"/>
      <c r="Z95" s="261"/>
      <c r="AA95" s="261"/>
      <c r="AB95" s="984"/>
      <c r="AC95" s="266"/>
      <c r="AD95" s="266"/>
      <c r="AE95" s="266"/>
      <c r="AF95" s="266"/>
      <c r="AG95" s="44"/>
      <c r="AH95" s="44"/>
      <c r="AI95" s="44"/>
      <c r="AJ95" s="44"/>
      <c r="AK95" s="44"/>
      <c r="AL95" s="44"/>
      <c r="AM95" s="44"/>
      <c r="AN95" s="44"/>
      <c r="AO95" s="44"/>
      <c r="AP95" s="44"/>
    </row>
    <row r="96" spans="3:42">
      <c r="C96" s="261"/>
      <c r="D96" s="261"/>
      <c r="E96" s="342"/>
      <c r="F96" s="261"/>
      <c r="G96" s="261"/>
      <c r="H96" s="261"/>
      <c r="I96" s="261"/>
      <c r="J96" s="261"/>
      <c r="K96" s="261"/>
      <c r="L96" s="261"/>
      <c r="M96" s="261"/>
      <c r="N96" s="261"/>
      <c r="O96" s="261"/>
      <c r="P96" s="261"/>
      <c r="Q96" s="261"/>
      <c r="R96" s="261"/>
      <c r="S96" s="261"/>
      <c r="T96" s="262"/>
      <c r="U96" s="261"/>
      <c r="V96" s="261"/>
      <c r="W96" s="261"/>
      <c r="X96" s="261"/>
      <c r="Y96" s="261"/>
      <c r="Z96" s="261"/>
      <c r="AA96" s="261"/>
      <c r="AB96" s="984"/>
      <c r="AC96" s="266"/>
      <c r="AD96" s="266"/>
      <c r="AE96" s="266"/>
      <c r="AF96" s="266"/>
      <c r="AG96" s="44"/>
      <c r="AH96" s="44"/>
      <c r="AI96" s="44"/>
      <c r="AJ96" s="44"/>
      <c r="AK96" s="44"/>
      <c r="AL96" s="44"/>
      <c r="AM96" s="44"/>
      <c r="AN96" s="44"/>
      <c r="AO96" s="44"/>
      <c r="AP96" s="44"/>
    </row>
    <row r="97" spans="3:42">
      <c r="C97" s="261"/>
      <c r="D97" s="261"/>
      <c r="E97" s="342"/>
      <c r="F97" s="261"/>
      <c r="G97" s="261"/>
      <c r="H97" s="261"/>
      <c r="I97" s="261"/>
      <c r="J97" s="261"/>
      <c r="K97" s="261"/>
      <c r="L97" s="261"/>
      <c r="M97" s="261"/>
      <c r="N97" s="261"/>
      <c r="O97" s="261"/>
      <c r="P97" s="261"/>
      <c r="Q97" s="261"/>
      <c r="R97" s="261"/>
      <c r="S97" s="261"/>
      <c r="T97" s="262"/>
      <c r="U97" s="261"/>
      <c r="V97" s="261"/>
      <c r="W97" s="261"/>
      <c r="X97" s="261"/>
      <c r="Y97" s="261"/>
      <c r="Z97" s="261"/>
      <c r="AA97" s="261"/>
      <c r="AB97" s="984"/>
      <c r="AC97" s="266"/>
      <c r="AD97" s="266"/>
      <c r="AE97" s="266"/>
      <c r="AF97" s="266"/>
      <c r="AG97" s="44"/>
      <c r="AH97" s="44"/>
      <c r="AI97" s="44"/>
      <c r="AJ97" s="44"/>
      <c r="AK97" s="44"/>
      <c r="AL97" s="44"/>
      <c r="AM97" s="44"/>
      <c r="AN97" s="44"/>
      <c r="AO97" s="44"/>
      <c r="AP97" s="44"/>
    </row>
    <row r="98" spans="3:42">
      <c r="C98" s="261"/>
      <c r="D98" s="261"/>
      <c r="E98" s="342"/>
      <c r="F98" s="261"/>
      <c r="G98" s="261"/>
      <c r="H98" s="261"/>
      <c r="I98" s="261"/>
      <c r="J98" s="261"/>
      <c r="K98" s="261"/>
      <c r="L98" s="261"/>
      <c r="M98" s="261"/>
      <c r="N98" s="261"/>
      <c r="O98" s="261"/>
      <c r="P98" s="261"/>
      <c r="Q98" s="261"/>
      <c r="R98" s="261"/>
      <c r="S98" s="261"/>
      <c r="T98" s="262"/>
      <c r="U98" s="261"/>
      <c r="V98" s="261"/>
      <c r="W98" s="261"/>
      <c r="X98" s="261"/>
      <c r="Y98" s="261"/>
      <c r="Z98" s="261"/>
      <c r="AA98" s="261"/>
      <c r="AB98" s="984"/>
      <c r="AC98" s="266"/>
      <c r="AD98" s="266"/>
      <c r="AE98" s="266"/>
      <c r="AF98" s="266"/>
      <c r="AG98" s="44"/>
      <c r="AH98" s="44"/>
      <c r="AI98" s="44"/>
      <c r="AJ98" s="44"/>
      <c r="AK98" s="44"/>
      <c r="AL98" s="44"/>
      <c r="AM98" s="44"/>
      <c r="AN98" s="44"/>
      <c r="AO98" s="44"/>
      <c r="AP98" s="44"/>
    </row>
    <row r="99" spans="3:42">
      <c r="C99" s="261"/>
      <c r="D99" s="261"/>
      <c r="E99" s="342"/>
      <c r="F99" s="261"/>
      <c r="G99" s="261"/>
      <c r="H99" s="261"/>
      <c r="I99" s="261"/>
      <c r="J99" s="261"/>
      <c r="K99" s="261"/>
      <c r="L99" s="261"/>
      <c r="M99" s="261"/>
      <c r="N99" s="261"/>
      <c r="O99" s="261"/>
      <c r="P99" s="261"/>
      <c r="Q99" s="261"/>
      <c r="R99" s="261"/>
      <c r="S99" s="261"/>
      <c r="T99" s="262"/>
      <c r="U99" s="261"/>
      <c r="V99" s="261"/>
      <c r="W99" s="261"/>
      <c r="X99" s="261"/>
      <c r="Y99" s="261"/>
      <c r="Z99" s="261"/>
      <c r="AA99" s="261"/>
      <c r="AB99" s="984"/>
      <c r="AC99" s="266"/>
      <c r="AD99" s="266"/>
      <c r="AE99" s="266"/>
      <c r="AF99" s="266"/>
      <c r="AG99" s="44"/>
      <c r="AH99" s="44"/>
      <c r="AI99" s="44"/>
      <c r="AJ99" s="44"/>
      <c r="AK99" s="44"/>
      <c r="AL99" s="44"/>
      <c r="AM99" s="44"/>
      <c r="AN99" s="44"/>
      <c r="AO99" s="44"/>
      <c r="AP99" s="44"/>
    </row>
    <row r="100" spans="3:42">
      <c r="C100" s="261"/>
      <c r="D100" s="261"/>
      <c r="E100" s="342"/>
      <c r="F100" s="261"/>
      <c r="G100" s="261"/>
      <c r="H100" s="261"/>
      <c r="I100" s="261"/>
      <c r="J100" s="261"/>
      <c r="K100" s="261"/>
      <c r="L100" s="261"/>
      <c r="M100" s="261"/>
      <c r="N100" s="261"/>
      <c r="O100" s="261"/>
      <c r="P100" s="261"/>
      <c r="Q100" s="261"/>
      <c r="R100" s="261"/>
      <c r="S100" s="261"/>
      <c r="T100" s="262"/>
      <c r="U100" s="261"/>
      <c r="V100" s="261"/>
      <c r="W100" s="261"/>
      <c r="X100" s="261"/>
      <c r="Y100" s="261"/>
      <c r="Z100" s="261"/>
      <c r="AA100" s="261"/>
      <c r="AB100" s="984"/>
      <c r="AC100" s="266"/>
      <c r="AD100" s="266"/>
      <c r="AE100" s="266"/>
      <c r="AF100" s="266"/>
      <c r="AG100" s="44"/>
      <c r="AH100" s="44"/>
      <c r="AI100" s="44"/>
      <c r="AJ100" s="44"/>
      <c r="AK100" s="44"/>
      <c r="AL100" s="44"/>
      <c r="AM100" s="44"/>
      <c r="AN100" s="44"/>
      <c r="AO100" s="44"/>
      <c r="AP100" s="44"/>
    </row>
    <row r="101" spans="3:42">
      <c r="C101" s="261"/>
      <c r="D101" s="261"/>
      <c r="E101" s="342"/>
      <c r="F101" s="261"/>
      <c r="G101" s="261"/>
      <c r="H101" s="261"/>
      <c r="I101" s="261"/>
      <c r="J101" s="261"/>
      <c r="K101" s="261"/>
      <c r="L101" s="261"/>
      <c r="M101" s="261"/>
      <c r="N101" s="261"/>
      <c r="O101" s="261"/>
      <c r="P101" s="261"/>
      <c r="Q101" s="261"/>
      <c r="R101" s="261"/>
      <c r="S101" s="261"/>
      <c r="T101" s="262"/>
      <c r="U101" s="261"/>
      <c r="V101" s="261"/>
      <c r="W101" s="261"/>
      <c r="X101" s="261"/>
      <c r="Y101" s="261"/>
      <c r="Z101" s="261"/>
      <c r="AA101" s="261"/>
      <c r="AB101" s="984"/>
      <c r="AC101" s="266"/>
      <c r="AD101" s="266"/>
      <c r="AE101" s="266"/>
      <c r="AF101" s="266"/>
      <c r="AG101" s="44"/>
      <c r="AH101" s="44"/>
      <c r="AI101" s="44"/>
      <c r="AJ101" s="44"/>
      <c r="AK101" s="44"/>
      <c r="AL101" s="44"/>
      <c r="AM101" s="44"/>
      <c r="AN101" s="44"/>
      <c r="AO101" s="44"/>
      <c r="AP101" s="44"/>
    </row>
    <row r="102" spans="3:42">
      <c r="C102" s="261"/>
      <c r="D102" s="261"/>
      <c r="E102" s="342"/>
      <c r="F102" s="261"/>
      <c r="G102" s="261"/>
      <c r="H102" s="261"/>
      <c r="I102" s="261"/>
      <c r="J102" s="261"/>
      <c r="K102" s="261"/>
      <c r="L102" s="261"/>
      <c r="M102" s="261"/>
      <c r="N102" s="261"/>
      <c r="O102" s="261"/>
      <c r="P102" s="261"/>
      <c r="Q102" s="261"/>
      <c r="R102" s="261"/>
      <c r="S102" s="261"/>
      <c r="T102" s="262"/>
      <c r="U102" s="261"/>
      <c r="V102" s="261"/>
      <c r="W102" s="261"/>
      <c r="X102" s="261"/>
      <c r="Y102" s="261"/>
      <c r="Z102" s="261"/>
      <c r="AA102" s="261"/>
      <c r="AB102" s="984"/>
      <c r="AC102" s="266"/>
      <c r="AD102" s="266"/>
      <c r="AE102" s="266"/>
      <c r="AF102" s="266"/>
      <c r="AG102" s="44"/>
      <c r="AH102" s="44"/>
      <c r="AI102" s="44"/>
      <c r="AJ102" s="44"/>
      <c r="AK102" s="44"/>
      <c r="AL102" s="44"/>
      <c r="AM102" s="44"/>
      <c r="AN102" s="44"/>
      <c r="AO102" s="44"/>
      <c r="AP102" s="44"/>
    </row>
    <row r="103" spans="3:42">
      <c r="C103" s="261"/>
      <c r="D103" s="261"/>
      <c r="E103" s="342"/>
      <c r="F103" s="261"/>
      <c r="G103" s="261"/>
      <c r="H103" s="261"/>
      <c r="I103" s="261"/>
      <c r="J103" s="261"/>
      <c r="K103" s="261"/>
      <c r="L103" s="261"/>
      <c r="M103" s="261"/>
      <c r="N103" s="261"/>
      <c r="O103" s="261"/>
      <c r="P103" s="261"/>
      <c r="Q103" s="261"/>
      <c r="R103" s="261"/>
      <c r="S103" s="261"/>
      <c r="T103" s="262"/>
      <c r="U103" s="261"/>
      <c r="V103" s="261"/>
      <c r="W103" s="261"/>
      <c r="X103" s="261"/>
      <c r="Y103" s="261"/>
      <c r="Z103" s="261"/>
      <c r="AA103" s="261"/>
      <c r="AB103" s="984"/>
      <c r="AC103" s="266"/>
      <c r="AD103" s="266"/>
      <c r="AE103" s="266"/>
      <c r="AF103" s="266"/>
      <c r="AG103" s="44"/>
      <c r="AH103" s="44"/>
      <c r="AI103" s="44"/>
      <c r="AJ103" s="44"/>
      <c r="AK103" s="44"/>
      <c r="AL103" s="44"/>
      <c r="AM103" s="44"/>
      <c r="AN103" s="44"/>
      <c r="AO103" s="44"/>
      <c r="AP103" s="44"/>
    </row>
    <row r="104" spans="3:42">
      <c r="C104" s="261"/>
      <c r="D104" s="261"/>
      <c r="E104" s="342"/>
      <c r="F104" s="261"/>
      <c r="G104" s="261"/>
      <c r="H104" s="261"/>
      <c r="I104" s="261"/>
      <c r="J104" s="261"/>
      <c r="K104" s="261"/>
      <c r="L104" s="261"/>
      <c r="M104" s="261"/>
      <c r="N104" s="261"/>
      <c r="O104" s="261"/>
      <c r="P104" s="261"/>
      <c r="Q104" s="261"/>
      <c r="R104" s="261"/>
      <c r="S104" s="261"/>
      <c r="T104" s="262"/>
      <c r="U104" s="261"/>
      <c r="V104" s="261"/>
      <c r="W104" s="261"/>
      <c r="X104" s="261"/>
      <c r="Y104" s="261"/>
      <c r="Z104" s="261"/>
      <c r="AA104" s="261"/>
      <c r="AB104" s="984"/>
      <c r="AC104" s="266"/>
      <c r="AD104" s="266"/>
      <c r="AE104" s="266"/>
      <c r="AF104" s="266"/>
      <c r="AG104" s="44"/>
      <c r="AH104" s="44"/>
      <c r="AI104" s="44"/>
      <c r="AJ104" s="44"/>
      <c r="AK104" s="44"/>
      <c r="AL104" s="44"/>
      <c r="AM104" s="44"/>
      <c r="AN104" s="44"/>
      <c r="AO104" s="44"/>
      <c r="AP104" s="44"/>
    </row>
    <row r="105" spans="3:42">
      <c r="C105" s="261"/>
      <c r="D105" s="261"/>
      <c r="E105" s="342"/>
      <c r="F105" s="261"/>
      <c r="G105" s="261"/>
      <c r="H105" s="261"/>
      <c r="I105" s="261"/>
      <c r="J105" s="261"/>
      <c r="K105" s="261"/>
      <c r="L105" s="261"/>
      <c r="M105" s="261"/>
      <c r="N105" s="261"/>
      <c r="O105" s="261"/>
      <c r="P105" s="261"/>
      <c r="Q105" s="261"/>
      <c r="R105" s="261"/>
      <c r="S105" s="261"/>
      <c r="T105" s="262"/>
      <c r="U105" s="261"/>
      <c r="V105" s="261"/>
      <c r="W105" s="261"/>
      <c r="X105" s="261"/>
      <c r="Y105" s="261"/>
      <c r="Z105" s="261"/>
      <c r="AA105" s="261"/>
      <c r="AB105" s="984"/>
      <c r="AC105" s="266"/>
      <c r="AD105" s="266"/>
      <c r="AE105" s="266"/>
      <c r="AF105" s="266"/>
      <c r="AG105" s="44"/>
      <c r="AH105" s="44"/>
      <c r="AI105" s="44"/>
      <c r="AJ105" s="44"/>
      <c r="AK105" s="44"/>
      <c r="AL105" s="44"/>
      <c r="AM105" s="44"/>
      <c r="AN105" s="44"/>
      <c r="AO105" s="44"/>
      <c r="AP105" s="44"/>
    </row>
    <row r="106" spans="3:42">
      <c r="C106" s="261"/>
      <c r="D106" s="261"/>
      <c r="E106" s="342"/>
      <c r="F106" s="261"/>
      <c r="G106" s="261"/>
      <c r="H106" s="261"/>
      <c r="I106" s="261"/>
      <c r="J106" s="261"/>
      <c r="K106" s="261"/>
      <c r="L106" s="261"/>
      <c r="M106" s="261"/>
      <c r="N106" s="261"/>
      <c r="O106" s="261"/>
      <c r="P106" s="261"/>
      <c r="Q106" s="261"/>
      <c r="R106" s="261"/>
      <c r="S106" s="261"/>
      <c r="T106" s="262"/>
      <c r="U106" s="261"/>
      <c r="V106" s="261"/>
      <c r="W106" s="261"/>
      <c r="X106" s="261"/>
      <c r="Y106" s="261"/>
      <c r="Z106" s="261"/>
      <c r="AA106" s="261"/>
      <c r="AB106" s="984"/>
      <c r="AC106" s="266"/>
      <c r="AD106" s="266"/>
      <c r="AE106" s="266"/>
      <c r="AF106" s="266"/>
      <c r="AG106" s="44"/>
      <c r="AH106" s="44"/>
      <c r="AI106" s="44"/>
      <c r="AJ106" s="44"/>
      <c r="AK106" s="44"/>
      <c r="AL106" s="44"/>
      <c r="AM106" s="44"/>
      <c r="AN106" s="44"/>
      <c r="AO106" s="44"/>
      <c r="AP106" s="44"/>
    </row>
    <row r="107" spans="3:42">
      <c r="C107" s="261"/>
      <c r="D107" s="261"/>
      <c r="E107" s="342"/>
      <c r="F107" s="261"/>
      <c r="G107" s="261"/>
      <c r="H107" s="261"/>
      <c r="I107" s="261"/>
      <c r="J107" s="261"/>
      <c r="K107" s="261"/>
      <c r="L107" s="261"/>
      <c r="M107" s="261"/>
      <c r="N107" s="261"/>
      <c r="O107" s="261"/>
      <c r="P107" s="261"/>
      <c r="Q107" s="261"/>
      <c r="R107" s="261"/>
      <c r="S107" s="261"/>
      <c r="T107" s="262"/>
      <c r="U107" s="261"/>
      <c r="V107" s="261"/>
      <c r="W107" s="261"/>
      <c r="X107" s="261"/>
      <c r="Y107" s="261"/>
      <c r="Z107" s="261"/>
      <c r="AA107" s="261"/>
      <c r="AB107" s="984"/>
      <c r="AC107" s="266"/>
      <c r="AD107" s="266"/>
      <c r="AE107" s="266"/>
      <c r="AF107" s="266"/>
      <c r="AG107" s="44"/>
      <c r="AH107" s="44"/>
      <c r="AI107" s="44"/>
      <c r="AJ107" s="44"/>
      <c r="AK107" s="44"/>
      <c r="AL107" s="44"/>
      <c r="AM107" s="44"/>
      <c r="AN107" s="44"/>
      <c r="AO107" s="44"/>
      <c r="AP107" s="44"/>
    </row>
    <row r="108" spans="3:42">
      <c r="C108" s="261"/>
      <c r="D108" s="261"/>
      <c r="E108" s="342"/>
      <c r="F108" s="261"/>
      <c r="G108" s="261"/>
      <c r="H108" s="261"/>
      <c r="I108" s="261"/>
      <c r="J108" s="261"/>
      <c r="K108" s="261"/>
      <c r="L108" s="261"/>
      <c r="M108" s="261"/>
      <c r="N108" s="261"/>
      <c r="O108" s="261"/>
      <c r="P108" s="261"/>
      <c r="Q108" s="261"/>
      <c r="R108" s="261"/>
      <c r="S108" s="261"/>
      <c r="T108" s="262"/>
      <c r="U108" s="261"/>
      <c r="V108" s="261"/>
      <c r="W108" s="261"/>
      <c r="X108" s="261"/>
      <c r="Y108" s="261"/>
      <c r="Z108" s="261"/>
      <c r="AA108" s="261"/>
      <c r="AB108" s="984"/>
      <c r="AC108" s="266"/>
      <c r="AD108" s="266"/>
      <c r="AE108" s="266"/>
      <c r="AF108" s="266"/>
      <c r="AG108" s="44"/>
      <c r="AH108" s="44"/>
      <c r="AI108" s="44"/>
      <c r="AJ108" s="44"/>
      <c r="AK108" s="44"/>
      <c r="AL108" s="44"/>
      <c r="AM108" s="44"/>
      <c r="AN108" s="44"/>
      <c r="AO108" s="44"/>
      <c r="AP108" s="44"/>
    </row>
    <row r="109" spans="3:42">
      <c r="C109" s="261"/>
      <c r="D109" s="261"/>
      <c r="E109" s="342"/>
      <c r="F109" s="261"/>
      <c r="G109" s="261"/>
      <c r="H109" s="261"/>
      <c r="I109" s="261"/>
      <c r="J109" s="261"/>
      <c r="K109" s="261"/>
      <c r="L109" s="261"/>
      <c r="M109" s="261"/>
      <c r="N109" s="261"/>
      <c r="O109" s="261"/>
      <c r="P109" s="261"/>
      <c r="Q109" s="261"/>
      <c r="R109" s="261"/>
      <c r="S109" s="261"/>
      <c r="T109" s="262"/>
      <c r="U109" s="261"/>
      <c r="V109" s="261"/>
      <c r="W109" s="261"/>
      <c r="X109" s="261"/>
      <c r="Y109" s="261"/>
      <c r="Z109" s="261"/>
      <c r="AA109" s="261"/>
      <c r="AB109" s="984"/>
      <c r="AC109" s="266"/>
      <c r="AD109" s="266"/>
      <c r="AE109" s="266"/>
      <c r="AF109" s="266"/>
      <c r="AG109" s="44"/>
      <c r="AH109" s="44"/>
      <c r="AI109" s="44"/>
      <c r="AJ109" s="44"/>
      <c r="AK109" s="44"/>
      <c r="AL109" s="44"/>
      <c r="AM109" s="44"/>
      <c r="AN109" s="44"/>
      <c r="AO109" s="44"/>
      <c r="AP109" s="44"/>
    </row>
    <row r="110" spans="3:42">
      <c r="C110" s="23"/>
      <c r="D110" s="23"/>
      <c r="E110" s="24"/>
      <c r="F110" s="23"/>
      <c r="G110" s="23"/>
      <c r="H110" s="23"/>
      <c r="I110" s="23"/>
      <c r="J110" s="23"/>
      <c r="K110" s="23"/>
      <c r="L110" s="23"/>
      <c r="M110" s="23"/>
      <c r="N110" s="23"/>
      <c r="O110" s="23"/>
      <c r="P110" s="23"/>
      <c r="Q110" s="23"/>
      <c r="R110" s="23"/>
      <c r="S110" s="23"/>
      <c r="T110" s="25"/>
      <c r="U110" s="23"/>
      <c r="V110" s="23"/>
      <c r="W110" s="23"/>
      <c r="X110" s="23"/>
      <c r="Y110" s="23"/>
      <c r="Z110" s="23"/>
      <c r="AA110" s="23"/>
      <c r="AB110" s="780"/>
      <c r="AC110" s="44"/>
      <c r="AD110" s="44"/>
      <c r="AE110" s="44"/>
      <c r="AF110" s="44"/>
      <c r="AG110" s="44"/>
      <c r="AH110" s="44"/>
      <c r="AI110" s="44"/>
      <c r="AJ110" s="44"/>
      <c r="AK110" s="44"/>
      <c r="AL110" s="44"/>
      <c r="AM110" s="44"/>
      <c r="AN110" s="44"/>
      <c r="AO110" s="44"/>
      <c r="AP110" s="44"/>
    </row>
    <row r="111" spans="3:42">
      <c r="C111" s="23"/>
      <c r="D111" s="23"/>
      <c r="E111" s="24"/>
      <c r="F111" s="23"/>
      <c r="G111" s="23"/>
      <c r="H111" s="23"/>
      <c r="I111" s="23"/>
      <c r="J111" s="23"/>
      <c r="K111" s="23"/>
      <c r="L111" s="23"/>
      <c r="M111" s="23"/>
      <c r="N111" s="23"/>
      <c r="O111" s="23"/>
      <c r="P111" s="23"/>
      <c r="Q111" s="23"/>
      <c r="R111" s="23"/>
      <c r="S111" s="23"/>
      <c r="T111" s="25"/>
      <c r="U111" s="23"/>
      <c r="V111" s="23"/>
      <c r="W111" s="23"/>
      <c r="X111" s="23"/>
      <c r="Y111" s="23"/>
      <c r="Z111" s="23"/>
      <c r="AA111" s="23"/>
      <c r="AB111" s="780"/>
      <c r="AC111" s="44"/>
      <c r="AD111" s="44"/>
      <c r="AE111" s="44"/>
      <c r="AF111" s="44"/>
      <c r="AG111" s="44"/>
      <c r="AH111" s="44"/>
      <c r="AI111" s="44"/>
      <c r="AJ111" s="44"/>
      <c r="AK111" s="44"/>
      <c r="AL111" s="44"/>
      <c r="AM111" s="44"/>
      <c r="AN111" s="44"/>
      <c r="AO111" s="44"/>
      <c r="AP111" s="44"/>
    </row>
    <row r="112" spans="3:42">
      <c r="C112" s="23"/>
      <c r="D112" s="23"/>
      <c r="E112" s="24"/>
      <c r="F112" s="23"/>
      <c r="G112" s="23"/>
      <c r="H112" s="23"/>
      <c r="I112" s="23"/>
      <c r="J112" s="23"/>
      <c r="K112" s="23"/>
      <c r="L112" s="23"/>
      <c r="M112" s="23"/>
      <c r="N112" s="23"/>
      <c r="O112" s="23"/>
      <c r="P112" s="23"/>
      <c r="Q112" s="23"/>
      <c r="R112" s="23"/>
      <c r="S112" s="23"/>
      <c r="T112" s="25"/>
      <c r="U112" s="23"/>
      <c r="V112" s="23"/>
      <c r="W112" s="23"/>
      <c r="X112" s="23"/>
      <c r="Y112" s="23"/>
      <c r="Z112" s="23"/>
      <c r="AA112" s="23"/>
      <c r="AB112" s="780"/>
      <c r="AC112" s="44"/>
      <c r="AD112" s="44"/>
      <c r="AE112" s="44"/>
      <c r="AF112" s="44"/>
      <c r="AG112" s="44"/>
      <c r="AH112" s="44"/>
      <c r="AI112" s="44"/>
      <c r="AJ112" s="44"/>
      <c r="AK112" s="44"/>
      <c r="AL112" s="44"/>
      <c r="AM112" s="44"/>
      <c r="AN112" s="44"/>
      <c r="AO112" s="44"/>
      <c r="AP112" s="44"/>
    </row>
    <row r="113" spans="3:42">
      <c r="C113" s="23"/>
      <c r="D113" s="23"/>
      <c r="E113" s="24"/>
      <c r="F113" s="23"/>
      <c r="G113" s="23"/>
      <c r="H113" s="23"/>
      <c r="I113" s="23"/>
      <c r="J113" s="23"/>
      <c r="K113" s="23"/>
      <c r="L113" s="23"/>
      <c r="M113" s="23"/>
      <c r="N113" s="23"/>
      <c r="O113" s="23"/>
      <c r="P113" s="23"/>
      <c r="Q113" s="23"/>
      <c r="R113" s="23"/>
      <c r="S113" s="23"/>
      <c r="T113" s="25"/>
      <c r="U113" s="23"/>
      <c r="V113" s="23"/>
      <c r="W113" s="23"/>
      <c r="X113" s="23"/>
      <c r="Y113" s="23"/>
      <c r="Z113" s="23"/>
      <c r="AA113" s="23"/>
      <c r="AB113" s="780"/>
      <c r="AC113" s="44"/>
      <c r="AD113" s="44"/>
      <c r="AE113" s="44"/>
      <c r="AF113" s="44"/>
      <c r="AG113" s="44"/>
      <c r="AH113" s="44"/>
      <c r="AI113" s="44"/>
      <c r="AJ113" s="44"/>
      <c r="AK113" s="44"/>
      <c r="AL113" s="44"/>
      <c r="AM113" s="44"/>
      <c r="AN113" s="44"/>
      <c r="AO113" s="44"/>
      <c r="AP113" s="44"/>
    </row>
    <row r="114" spans="3:42">
      <c r="C114" s="23"/>
      <c r="D114" s="23"/>
      <c r="E114" s="24"/>
      <c r="F114" s="23"/>
      <c r="G114" s="23"/>
      <c r="H114" s="23"/>
      <c r="I114" s="23"/>
      <c r="J114" s="23"/>
      <c r="K114" s="23"/>
      <c r="L114" s="23"/>
      <c r="M114" s="23"/>
      <c r="N114" s="23"/>
      <c r="O114" s="23"/>
      <c r="P114" s="23"/>
      <c r="Q114" s="23"/>
      <c r="R114" s="23"/>
      <c r="S114" s="23"/>
      <c r="T114" s="25"/>
      <c r="U114" s="23"/>
      <c r="V114" s="23"/>
      <c r="W114" s="23"/>
      <c r="X114" s="23"/>
      <c r="Y114" s="23"/>
      <c r="Z114" s="23"/>
      <c r="AA114" s="23"/>
      <c r="AB114" s="780"/>
      <c r="AC114" s="44"/>
      <c r="AD114" s="44"/>
      <c r="AE114" s="44"/>
      <c r="AF114" s="44"/>
      <c r="AG114" s="44"/>
      <c r="AH114" s="44"/>
      <c r="AI114" s="44"/>
      <c r="AJ114" s="44"/>
      <c r="AK114" s="44"/>
      <c r="AL114" s="44"/>
      <c r="AM114" s="44"/>
      <c r="AN114" s="44"/>
      <c r="AO114" s="44"/>
      <c r="AP114" s="44"/>
    </row>
    <row r="115" spans="3:42">
      <c r="C115" s="23"/>
      <c r="D115" s="23"/>
      <c r="E115" s="24"/>
      <c r="F115" s="23"/>
      <c r="G115" s="23"/>
      <c r="H115" s="23"/>
      <c r="I115" s="23"/>
      <c r="J115" s="23"/>
      <c r="K115" s="23"/>
      <c r="L115" s="23"/>
      <c r="M115" s="23"/>
      <c r="N115" s="23"/>
      <c r="O115" s="23"/>
      <c r="P115" s="23"/>
      <c r="Q115" s="23"/>
      <c r="R115" s="23"/>
      <c r="S115" s="23"/>
      <c r="T115" s="25"/>
      <c r="U115" s="23"/>
      <c r="V115" s="23"/>
      <c r="W115" s="23"/>
      <c r="X115" s="23"/>
      <c r="Y115" s="23"/>
      <c r="Z115" s="23"/>
      <c r="AA115" s="23"/>
      <c r="AB115" s="780"/>
      <c r="AC115" s="44"/>
      <c r="AD115" s="44"/>
      <c r="AE115" s="44"/>
      <c r="AF115" s="44"/>
      <c r="AG115" s="44"/>
      <c r="AH115" s="44"/>
      <c r="AI115" s="44"/>
      <c r="AJ115" s="44"/>
      <c r="AK115" s="44"/>
      <c r="AL115" s="44"/>
      <c r="AM115" s="44"/>
      <c r="AN115" s="44"/>
      <c r="AO115" s="44"/>
      <c r="AP115" s="44"/>
    </row>
    <row r="116" spans="3:42">
      <c r="C116" s="23"/>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951"/>
      <c r="AC116" s="44"/>
      <c r="AD116" s="44"/>
      <c r="AE116" s="44"/>
      <c r="AF116" s="44"/>
      <c r="AG116" s="44"/>
      <c r="AH116" s="44"/>
      <c r="AI116" s="44"/>
      <c r="AJ116" s="44"/>
      <c r="AK116" s="44"/>
      <c r="AL116" s="44"/>
      <c r="AM116" s="44"/>
      <c r="AN116" s="44"/>
      <c r="AO116" s="44"/>
      <c r="AP116" s="44"/>
    </row>
    <row r="117" spans="3:42">
      <c r="C117" s="23"/>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951"/>
      <c r="AC117" s="44"/>
      <c r="AD117" s="44"/>
      <c r="AE117" s="44"/>
      <c r="AF117" s="44"/>
      <c r="AG117" s="44"/>
      <c r="AH117" s="44"/>
      <c r="AI117" s="44"/>
      <c r="AJ117" s="44"/>
      <c r="AK117" s="44"/>
      <c r="AL117" s="44"/>
      <c r="AM117" s="44"/>
      <c r="AN117" s="44"/>
      <c r="AO117" s="44"/>
      <c r="AP117" s="44"/>
    </row>
    <row r="118" spans="3:42">
      <c r="C118" s="23"/>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951"/>
      <c r="AC118" s="44"/>
      <c r="AD118" s="44"/>
      <c r="AE118" s="44"/>
      <c r="AF118" s="44"/>
      <c r="AG118" s="44"/>
      <c r="AH118" s="44"/>
      <c r="AI118" s="44"/>
      <c r="AJ118" s="44"/>
      <c r="AK118" s="44"/>
      <c r="AL118" s="44"/>
      <c r="AM118" s="44"/>
      <c r="AN118" s="44"/>
      <c r="AO118" s="44"/>
      <c r="AP118" s="44"/>
    </row>
    <row r="119" spans="3:42">
      <c r="C119" s="23"/>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951"/>
      <c r="AC119" s="44"/>
      <c r="AD119" s="44"/>
      <c r="AE119" s="44"/>
      <c r="AF119" s="44"/>
      <c r="AG119" s="44"/>
      <c r="AH119" s="44"/>
      <c r="AI119" s="44"/>
      <c r="AJ119" s="44"/>
      <c r="AK119" s="44"/>
      <c r="AL119" s="44"/>
      <c r="AM119" s="44"/>
      <c r="AN119" s="44"/>
      <c r="AO119" s="44"/>
      <c r="AP119" s="44"/>
    </row>
    <row r="120" spans="3:42">
      <c r="C120" s="23"/>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951"/>
      <c r="AC120" s="44"/>
      <c r="AD120" s="44"/>
      <c r="AE120" s="44"/>
      <c r="AF120" s="44"/>
      <c r="AG120" s="44"/>
      <c r="AH120" s="44"/>
      <c r="AI120" s="44"/>
      <c r="AJ120" s="44"/>
      <c r="AK120" s="44"/>
      <c r="AL120" s="44"/>
      <c r="AM120" s="44"/>
      <c r="AN120" s="44"/>
      <c r="AO120" s="44"/>
      <c r="AP120" s="44"/>
    </row>
    <row r="121" spans="3:42">
      <c r="C121" s="23"/>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951"/>
      <c r="AC121" s="44"/>
      <c r="AD121" s="44"/>
      <c r="AE121" s="44"/>
      <c r="AF121" s="44"/>
      <c r="AG121" s="44"/>
      <c r="AH121" s="44"/>
      <c r="AI121" s="44"/>
      <c r="AJ121" s="44"/>
      <c r="AK121" s="44"/>
      <c r="AL121" s="44"/>
      <c r="AM121" s="44"/>
      <c r="AN121" s="44"/>
      <c r="AO121" s="44"/>
      <c r="AP121" s="44"/>
    </row>
    <row r="122" spans="3:42">
      <c r="C122" s="23"/>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951"/>
      <c r="AC122" s="44"/>
      <c r="AD122" s="44"/>
      <c r="AE122" s="44"/>
      <c r="AF122" s="44"/>
      <c r="AG122" s="44"/>
      <c r="AH122" s="44"/>
      <c r="AI122" s="44"/>
      <c r="AJ122" s="44"/>
      <c r="AK122" s="44"/>
      <c r="AL122" s="44"/>
      <c r="AM122" s="44"/>
      <c r="AN122" s="44"/>
      <c r="AO122" s="44"/>
      <c r="AP122" s="44"/>
    </row>
    <row r="123" spans="3:42">
      <c r="C123" s="2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951"/>
      <c r="AC123" s="44"/>
      <c r="AD123" s="44"/>
      <c r="AE123" s="44"/>
      <c r="AF123" s="44"/>
      <c r="AG123" s="44"/>
      <c r="AH123" s="44"/>
      <c r="AI123" s="44"/>
      <c r="AJ123" s="44"/>
      <c r="AK123" s="44"/>
      <c r="AL123" s="44"/>
      <c r="AM123" s="44"/>
      <c r="AN123" s="44"/>
      <c r="AO123" s="44"/>
      <c r="AP123" s="44"/>
    </row>
    <row r="124" spans="3:42">
      <c r="C124" s="2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951"/>
      <c r="AC124" s="44"/>
      <c r="AD124" s="44"/>
      <c r="AE124" s="44"/>
      <c r="AF124" s="44"/>
      <c r="AG124" s="44"/>
      <c r="AH124" s="44"/>
      <c r="AI124" s="44"/>
      <c r="AJ124" s="44"/>
      <c r="AK124" s="44"/>
      <c r="AL124" s="44"/>
      <c r="AM124" s="44"/>
      <c r="AN124" s="44"/>
      <c r="AO124" s="44"/>
      <c r="AP124" s="44"/>
    </row>
    <row r="125" spans="3:42">
      <c r="C125" s="2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951"/>
      <c r="AC125" s="44"/>
      <c r="AD125" s="44"/>
      <c r="AE125" s="44"/>
      <c r="AF125" s="44"/>
      <c r="AG125" s="44"/>
      <c r="AH125" s="44"/>
      <c r="AI125" s="44"/>
      <c r="AJ125" s="44"/>
      <c r="AK125" s="44"/>
      <c r="AL125" s="44"/>
      <c r="AM125" s="44"/>
      <c r="AN125" s="44"/>
      <c r="AO125" s="44"/>
      <c r="AP125" s="44"/>
    </row>
    <row r="126" spans="3:42">
      <c r="C126" s="23"/>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951"/>
      <c r="AC126" s="44"/>
      <c r="AD126" s="44"/>
      <c r="AE126" s="44"/>
      <c r="AF126" s="44"/>
      <c r="AG126" s="44"/>
      <c r="AH126" s="44"/>
      <c r="AI126" s="44"/>
      <c r="AJ126" s="44"/>
      <c r="AK126" s="44"/>
      <c r="AL126" s="44"/>
      <c r="AM126" s="44"/>
      <c r="AN126" s="44"/>
      <c r="AO126" s="44"/>
      <c r="AP126" s="44"/>
    </row>
    <row r="127" spans="3:42">
      <c r="C127" s="23"/>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951"/>
      <c r="AC127" s="44"/>
      <c r="AD127" s="44"/>
      <c r="AE127" s="44"/>
      <c r="AF127" s="44"/>
      <c r="AG127" s="44"/>
      <c r="AH127" s="44"/>
      <c r="AI127" s="44"/>
      <c r="AJ127" s="44"/>
      <c r="AK127" s="44"/>
      <c r="AL127" s="44"/>
      <c r="AM127" s="44"/>
      <c r="AN127" s="44"/>
      <c r="AO127" s="44"/>
      <c r="AP127" s="44"/>
    </row>
    <row r="128" spans="3:42" s="19" customFormat="1">
      <c r="E128" s="21"/>
      <c r="T128" s="20"/>
      <c r="AB128" s="986"/>
    </row>
    <row r="129" spans="5:28" s="19" customFormat="1">
      <c r="E129" s="21"/>
      <c r="T129" s="20"/>
      <c r="AB129" s="986"/>
    </row>
    <row r="130" spans="5:28" s="19" customFormat="1">
      <c r="E130" s="21"/>
      <c r="T130" s="20"/>
      <c r="AB130" s="986"/>
    </row>
    <row r="131" spans="5:28" s="19" customFormat="1">
      <c r="E131" s="21"/>
      <c r="T131" s="20"/>
      <c r="AB131" s="986"/>
    </row>
    <row r="132" spans="5:28" s="19" customFormat="1">
      <c r="E132" s="21"/>
      <c r="T132" s="20"/>
      <c r="AB132" s="986"/>
    </row>
    <row r="133" spans="5:28" s="19" customFormat="1">
      <c r="E133" s="21"/>
      <c r="T133" s="20"/>
      <c r="AB133" s="986"/>
    </row>
    <row r="134" spans="5:28" s="19" customFormat="1">
      <c r="E134" s="21"/>
      <c r="T134" s="20"/>
      <c r="AB134" s="986"/>
    </row>
    <row r="135" spans="5:28" s="19" customFormat="1">
      <c r="E135" s="21"/>
      <c r="T135" s="20"/>
      <c r="AB135" s="986"/>
    </row>
    <row r="136" spans="5:28" s="19" customFormat="1">
      <c r="E136" s="21"/>
      <c r="T136" s="20"/>
      <c r="AB136" s="986"/>
    </row>
    <row r="137" spans="5:28" s="19" customFormat="1">
      <c r="E137" s="21"/>
      <c r="T137" s="20"/>
      <c r="AB137" s="986"/>
    </row>
    <row r="138" spans="5:28" s="19" customFormat="1">
      <c r="E138" s="21"/>
      <c r="T138" s="20"/>
      <c r="AB138" s="986"/>
    </row>
    <row r="139" spans="5:28" s="19" customFormat="1">
      <c r="E139" s="21"/>
      <c r="T139" s="20"/>
      <c r="AB139" s="986"/>
    </row>
    <row r="140" spans="5:28" s="19" customFormat="1">
      <c r="E140" s="21"/>
      <c r="T140" s="20"/>
      <c r="AB140" s="986"/>
    </row>
    <row r="141" spans="5:28" s="19" customFormat="1">
      <c r="E141" s="21"/>
      <c r="T141" s="20"/>
      <c r="AB141" s="986"/>
    </row>
    <row r="142" spans="5:28" s="19" customFormat="1">
      <c r="E142" s="21"/>
      <c r="T142" s="20"/>
      <c r="AB142" s="986"/>
    </row>
    <row r="143" spans="5:28" s="19" customFormat="1">
      <c r="E143" s="21"/>
      <c r="T143" s="20"/>
      <c r="AB143" s="986"/>
    </row>
    <row r="144" spans="5:28" s="19" customFormat="1">
      <c r="E144" s="21"/>
      <c r="T144" s="20"/>
      <c r="AB144" s="986"/>
    </row>
    <row r="145" spans="5:28" s="19" customFormat="1">
      <c r="E145" s="21"/>
      <c r="T145" s="20"/>
      <c r="AB145" s="986"/>
    </row>
    <row r="146" spans="5:28" s="19" customFormat="1">
      <c r="E146" s="21"/>
      <c r="T146" s="20"/>
      <c r="AB146" s="986"/>
    </row>
    <row r="147" spans="5:28" s="19" customFormat="1">
      <c r="E147" s="21"/>
      <c r="T147" s="20"/>
      <c r="AB147" s="986"/>
    </row>
    <row r="148" spans="5:28" s="19" customFormat="1">
      <c r="E148" s="21"/>
      <c r="T148" s="20"/>
      <c r="AB148" s="986"/>
    </row>
    <row r="149" spans="5:28" s="19" customFormat="1">
      <c r="E149" s="21"/>
      <c r="T149" s="20"/>
      <c r="AB149" s="986"/>
    </row>
    <row r="150" spans="5:28" s="19" customFormat="1">
      <c r="E150" s="21"/>
      <c r="T150" s="20"/>
      <c r="AB150" s="986"/>
    </row>
    <row r="151" spans="5:28" s="19" customFormat="1">
      <c r="E151" s="21"/>
      <c r="T151" s="20"/>
      <c r="AB151" s="986"/>
    </row>
    <row r="152" spans="5:28" s="19" customFormat="1">
      <c r="E152" s="21"/>
      <c r="T152" s="20"/>
      <c r="AB152" s="986"/>
    </row>
    <row r="153" spans="5:28" s="19" customFormat="1">
      <c r="E153" s="21"/>
      <c r="T153" s="20"/>
      <c r="AB153" s="986"/>
    </row>
    <row r="154" spans="5:28" s="19" customFormat="1">
      <c r="E154" s="21"/>
      <c r="T154" s="20"/>
      <c r="AB154" s="986"/>
    </row>
    <row r="155" spans="5:28" s="19" customFormat="1">
      <c r="E155" s="21"/>
      <c r="T155" s="20"/>
      <c r="AB155" s="986"/>
    </row>
    <row r="156" spans="5:28" s="19" customFormat="1">
      <c r="E156" s="21"/>
      <c r="T156" s="20"/>
      <c r="AB156" s="986"/>
    </row>
    <row r="157" spans="5:28" s="19" customFormat="1">
      <c r="E157" s="21"/>
      <c r="T157" s="20"/>
      <c r="AB157" s="986"/>
    </row>
    <row r="158" spans="5:28" s="19" customFormat="1">
      <c r="E158" s="21"/>
      <c r="T158" s="20"/>
      <c r="AB158" s="986"/>
    </row>
    <row r="159" spans="5:28" s="19" customFormat="1">
      <c r="E159" s="21"/>
      <c r="T159" s="20"/>
      <c r="AB159" s="986"/>
    </row>
    <row r="160" spans="5:28" s="19" customFormat="1">
      <c r="E160" s="21"/>
      <c r="T160" s="20"/>
      <c r="AB160" s="986"/>
    </row>
    <row r="161" spans="5:28" s="19" customFormat="1">
      <c r="E161" s="21"/>
      <c r="T161" s="20"/>
      <c r="AB161" s="986"/>
    </row>
    <row r="162" spans="5:28" s="19" customFormat="1">
      <c r="E162" s="21"/>
      <c r="T162" s="20"/>
      <c r="AB162" s="986"/>
    </row>
    <row r="163" spans="5:28" s="19" customFormat="1">
      <c r="E163" s="21"/>
      <c r="T163" s="20"/>
      <c r="AB163" s="986"/>
    </row>
    <row r="164" spans="5:28" s="19" customFormat="1">
      <c r="E164" s="21"/>
      <c r="T164" s="20"/>
      <c r="AB164" s="986"/>
    </row>
    <row r="165" spans="5:28" s="19" customFormat="1">
      <c r="E165" s="21"/>
      <c r="T165" s="20"/>
      <c r="AB165" s="986"/>
    </row>
    <row r="166" spans="5:28" s="19" customFormat="1">
      <c r="E166" s="21"/>
      <c r="T166" s="20"/>
      <c r="AB166" s="986"/>
    </row>
    <row r="167" spans="5:28" s="19" customFormat="1">
      <c r="E167" s="21"/>
      <c r="T167" s="20"/>
      <c r="AB167" s="986"/>
    </row>
    <row r="168" spans="5:28" s="19" customFormat="1">
      <c r="E168" s="21"/>
      <c r="T168" s="20"/>
      <c r="AB168" s="986"/>
    </row>
    <row r="169" spans="5:28" s="19" customFormat="1">
      <c r="E169" s="21"/>
      <c r="T169" s="20"/>
      <c r="AB169" s="986"/>
    </row>
    <row r="170" spans="5:28" s="19" customFormat="1">
      <c r="E170" s="21"/>
      <c r="T170" s="20"/>
      <c r="AB170" s="986"/>
    </row>
    <row r="171" spans="5:28" s="19" customFormat="1">
      <c r="E171" s="21"/>
      <c r="T171" s="20"/>
      <c r="AB171" s="986"/>
    </row>
    <row r="172" spans="5:28" s="19" customFormat="1">
      <c r="E172" s="21"/>
      <c r="T172" s="20"/>
      <c r="AB172" s="986"/>
    </row>
    <row r="173" spans="5:28" s="19" customFormat="1">
      <c r="E173" s="21"/>
      <c r="T173" s="20"/>
      <c r="AB173" s="986"/>
    </row>
    <row r="174" spans="5:28" s="19" customFormat="1">
      <c r="E174" s="21"/>
      <c r="T174" s="20"/>
      <c r="AB174" s="986"/>
    </row>
    <row r="175" spans="5:28" s="19" customFormat="1">
      <c r="E175" s="21"/>
      <c r="T175" s="20"/>
      <c r="AB175" s="986"/>
    </row>
    <row r="176" spans="5:28" s="19" customFormat="1">
      <c r="E176" s="21"/>
      <c r="T176" s="20"/>
      <c r="AB176" s="986"/>
    </row>
    <row r="177" spans="5:28" s="19" customFormat="1">
      <c r="E177" s="21"/>
      <c r="T177" s="20"/>
      <c r="AB177" s="986"/>
    </row>
    <row r="178" spans="5:28" s="19" customFormat="1">
      <c r="E178" s="21"/>
      <c r="T178" s="20"/>
      <c r="AB178" s="986"/>
    </row>
    <row r="179" spans="5:28" s="19" customFormat="1">
      <c r="E179" s="21"/>
      <c r="T179" s="20"/>
      <c r="AB179" s="986"/>
    </row>
    <row r="180" spans="5:28" s="19" customFormat="1">
      <c r="E180" s="21"/>
      <c r="T180" s="20"/>
      <c r="AB180" s="986"/>
    </row>
    <row r="181" spans="5:28" s="19" customFormat="1">
      <c r="E181" s="21"/>
      <c r="T181" s="20"/>
      <c r="AB181" s="986"/>
    </row>
    <row r="182" spans="5:28" s="19" customFormat="1">
      <c r="E182" s="21"/>
      <c r="T182" s="20"/>
      <c r="AB182" s="986"/>
    </row>
    <row r="183" spans="5:28" s="19" customFormat="1">
      <c r="E183" s="21"/>
      <c r="T183" s="20"/>
      <c r="AB183" s="986"/>
    </row>
    <row r="184" spans="5:28" s="19" customFormat="1">
      <c r="E184" s="21"/>
      <c r="T184" s="20"/>
      <c r="AB184" s="986"/>
    </row>
    <row r="185" spans="5:28" s="19" customFormat="1">
      <c r="E185" s="21"/>
      <c r="T185" s="20"/>
      <c r="AB185" s="986"/>
    </row>
    <row r="186" spans="5:28" s="19" customFormat="1">
      <c r="E186" s="21"/>
      <c r="T186" s="20"/>
      <c r="AB186" s="986"/>
    </row>
    <row r="187" spans="5:28" s="19" customFormat="1">
      <c r="E187" s="21"/>
      <c r="T187" s="20"/>
      <c r="AB187" s="986"/>
    </row>
    <row r="188" spans="5:28" s="19" customFormat="1">
      <c r="E188" s="21"/>
      <c r="T188" s="20"/>
      <c r="AB188" s="986"/>
    </row>
    <row r="189" spans="5:28" s="19" customFormat="1">
      <c r="E189" s="21"/>
      <c r="T189" s="20"/>
      <c r="AB189" s="986"/>
    </row>
    <row r="190" spans="5:28" s="19" customFormat="1">
      <c r="E190" s="21"/>
      <c r="T190" s="20"/>
      <c r="AB190" s="986"/>
    </row>
    <row r="191" spans="5:28" s="19" customFormat="1">
      <c r="E191" s="21"/>
      <c r="T191" s="20"/>
      <c r="AB191" s="986"/>
    </row>
    <row r="192" spans="5:28" s="19" customFormat="1">
      <c r="E192" s="21"/>
      <c r="T192" s="20"/>
      <c r="AB192" s="986"/>
    </row>
    <row r="193" spans="5:28" s="19" customFormat="1">
      <c r="E193" s="21"/>
      <c r="T193" s="20"/>
      <c r="AB193" s="986"/>
    </row>
    <row r="194" spans="5:28" s="19" customFormat="1">
      <c r="E194" s="21"/>
      <c r="T194" s="20"/>
      <c r="AB194" s="986"/>
    </row>
    <row r="195" spans="5:28" s="19" customFormat="1">
      <c r="E195" s="21"/>
      <c r="T195" s="20"/>
      <c r="AB195" s="986"/>
    </row>
    <row r="196" spans="5:28" s="19" customFormat="1">
      <c r="E196" s="21"/>
      <c r="T196" s="20"/>
      <c r="AB196" s="986"/>
    </row>
    <row r="197" spans="5:28" s="19" customFormat="1">
      <c r="E197" s="21"/>
      <c r="T197" s="20"/>
      <c r="AB197" s="986"/>
    </row>
    <row r="198" spans="5:28" s="19" customFormat="1">
      <c r="E198" s="21"/>
      <c r="T198" s="20"/>
      <c r="AB198" s="986"/>
    </row>
    <row r="199" spans="5:28" s="19" customFormat="1">
      <c r="E199" s="21"/>
      <c r="T199" s="20"/>
      <c r="AB199" s="986"/>
    </row>
    <row r="200" spans="5:28" s="19" customFormat="1">
      <c r="E200" s="21"/>
      <c r="T200" s="20"/>
      <c r="AB200" s="986"/>
    </row>
    <row r="201" spans="5:28" s="19" customFormat="1">
      <c r="E201" s="21"/>
      <c r="T201" s="20"/>
      <c r="AB201" s="986"/>
    </row>
    <row r="202" spans="5:28" s="19" customFormat="1">
      <c r="E202" s="21"/>
      <c r="T202" s="20"/>
      <c r="AB202" s="986"/>
    </row>
    <row r="203" spans="5:28" s="19" customFormat="1">
      <c r="E203" s="21"/>
      <c r="T203" s="20"/>
      <c r="AB203" s="986"/>
    </row>
    <row r="204" spans="5:28" s="19" customFormat="1">
      <c r="E204" s="21"/>
      <c r="T204" s="20"/>
      <c r="AB204" s="986"/>
    </row>
    <row r="205" spans="5:28" s="19" customFormat="1">
      <c r="E205" s="21"/>
      <c r="T205" s="20"/>
      <c r="AB205" s="986"/>
    </row>
    <row r="206" spans="5:28" s="19" customFormat="1">
      <c r="E206" s="21"/>
      <c r="T206" s="20"/>
      <c r="AB206" s="986"/>
    </row>
    <row r="207" spans="5:28" s="19" customFormat="1">
      <c r="E207" s="21"/>
      <c r="T207" s="20"/>
      <c r="AB207" s="986"/>
    </row>
    <row r="208" spans="5:28" s="19" customFormat="1">
      <c r="E208" s="21"/>
      <c r="T208" s="20"/>
      <c r="AB208" s="986"/>
    </row>
    <row r="209" spans="5:28" s="19" customFormat="1">
      <c r="E209" s="21"/>
      <c r="T209" s="20"/>
      <c r="AB209" s="986"/>
    </row>
    <row r="210" spans="5:28" s="19" customFormat="1">
      <c r="E210" s="21"/>
      <c r="T210" s="20"/>
      <c r="AB210" s="986"/>
    </row>
    <row r="211" spans="5:28" s="19" customFormat="1">
      <c r="E211" s="21"/>
      <c r="T211" s="20"/>
      <c r="AB211" s="986"/>
    </row>
    <row r="212" spans="5:28" s="19" customFormat="1">
      <c r="E212" s="21"/>
      <c r="T212" s="20"/>
      <c r="AB212" s="986"/>
    </row>
    <row r="213" spans="5:28" s="19" customFormat="1">
      <c r="E213" s="21"/>
      <c r="T213" s="20"/>
      <c r="AB213" s="986"/>
    </row>
    <row r="214" spans="5:28" s="19" customFormat="1">
      <c r="E214" s="21"/>
      <c r="T214" s="20"/>
      <c r="AB214" s="986"/>
    </row>
    <row r="215" spans="5:28" s="19" customFormat="1">
      <c r="E215" s="21"/>
      <c r="T215" s="20"/>
      <c r="AB215" s="986"/>
    </row>
    <row r="216" spans="5:28" s="19" customFormat="1">
      <c r="E216" s="21"/>
      <c r="T216" s="20"/>
      <c r="AB216" s="986"/>
    </row>
    <row r="217" spans="5:28" s="19" customFormat="1">
      <c r="E217" s="21"/>
      <c r="T217" s="20"/>
      <c r="AB217" s="986"/>
    </row>
    <row r="218" spans="5:28" s="19" customFormat="1">
      <c r="E218" s="21"/>
      <c r="T218" s="20"/>
      <c r="AB218" s="986"/>
    </row>
    <row r="219" spans="5:28" s="19" customFormat="1">
      <c r="E219" s="21"/>
      <c r="T219" s="20"/>
      <c r="AB219" s="986"/>
    </row>
    <row r="220" spans="5:28" s="19" customFormat="1">
      <c r="E220" s="21"/>
      <c r="T220" s="20"/>
      <c r="AB220" s="986"/>
    </row>
    <row r="221" spans="5:28" s="19" customFormat="1">
      <c r="E221" s="21"/>
      <c r="T221" s="20"/>
      <c r="AB221" s="986"/>
    </row>
    <row r="222" spans="5:28" s="19" customFormat="1">
      <c r="E222" s="21"/>
      <c r="T222" s="20"/>
      <c r="AB222" s="986"/>
    </row>
    <row r="223" spans="5:28" s="19" customFormat="1">
      <c r="E223" s="21"/>
      <c r="T223" s="20"/>
      <c r="AB223" s="986"/>
    </row>
    <row r="224" spans="5:28" s="19" customFormat="1">
      <c r="E224" s="21"/>
      <c r="T224" s="20"/>
      <c r="AB224" s="986"/>
    </row>
    <row r="225" spans="5:28" s="19" customFormat="1">
      <c r="E225" s="21"/>
      <c r="T225" s="20"/>
      <c r="AB225" s="986"/>
    </row>
    <row r="226" spans="5:28" s="19" customFormat="1">
      <c r="E226" s="21"/>
      <c r="T226" s="20"/>
      <c r="AB226" s="986"/>
    </row>
    <row r="227" spans="5:28" s="19" customFormat="1">
      <c r="E227" s="21"/>
      <c r="T227" s="20"/>
      <c r="AB227" s="986"/>
    </row>
    <row r="228" spans="5:28" s="19" customFormat="1">
      <c r="E228" s="21"/>
      <c r="T228" s="20"/>
      <c r="AB228" s="986"/>
    </row>
    <row r="229" spans="5:28" s="19" customFormat="1">
      <c r="E229" s="21"/>
      <c r="T229" s="20"/>
      <c r="AB229" s="986"/>
    </row>
    <row r="230" spans="5:28" s="19" customFormat="1">
      <c r="E230" s="21"/>
      <c r="T230" s="20"/>
      <c r="AB230" s="986"/>
    </row>
    <row r="231" spans="5:28" s="19" customFormat="1">
      <c r="E231" s="21"/>
      <c r="T231" s="20"/>
      <c r="AB231" s="986"/>
    </row>
    <row r="232" spans="5:28" s="19" customFormat="1">
      <c r="E232" s="21"/>
      <c r="T232" s="20"/>
      <c r="AB232" s="986"/>
    </row>
    <row r="233" spans="5:28" s="19" customFormat="1">
      <c r="E233" s="21"/>
      <c r="T233" s="20"/>
      <c r="AB233" s="986"/>
    </row>
    <row r="234" spans="5:28" s="19" customFormat="1">
      <c r="E234" s="21"/>
      <c r="T234" s="20"/>
      <c r="AB234" s="986"/>
    </row>
    <row r="235" spans="5:28" s="19" customFormat="1">
      <c r="E235" s="21"/>
      <c r="T235" s="20"/>
      <c r="AB235" s="986"/>
    </row>
    <row r="236" spans="5:28" s="19" customFormat="1">
      <c r="E236" s="21"/>
      <c r="T236" s="20"/>
      <c r="AB236" s="986"/>
    </row>
    <row r="237" spans="5:28" s="19" customFormat="1">
      <c r="E237" s="21"/>
      <c r="T237" s="20"/>
      <c r="AB237" s="986"/>
    </row>
    <row r="238" spans="5:28" s="19" customFormat="1">
      <c r="E238" s="21"/>
      <c r="T238" s="20"/>
      <c r="AB238" s="986"/>
    </row>
    <row r="239" spans="5:28" s="19" customFormat="1">
      <c r="E239" s="21"/>
      <c r="T239" s="20"/>
      <c r="AB239" s="986"/>
    </row>
    <row r="240" spans="5:28" s="19" customFormat="1">
      <c r="E240" s="21"/>
      <c r="T240" s="20"/>
      <c r="AB240" s="986"/>
    </row>
    <row r="241" spans="5:28" s="19" customFormat="1">
      <c r="E241" s="21"/>
      <c r="T241" s="20"/>
      <c r="AB241" s="986"/>
    </row>
    <row r="242" spans="5:28" s="19" customFormat="1">
      <c r="E242" s="21"/>
      <c r="T242" s="20"/>
      <c r="AB242" s="986"/>
    </row>
    <row r="243" spans="5:28" s="19" customFormat="1">
      <c r="E243" s="21"/>
      <c r="T243" s="20"/>
      <c r="AB243" s="986"/>
    </row>
    <row r="244" spans="5:28" s="19" customFormat="1">
      <c r="E244" s="21"/>
      <c r="T244" s="20"/>
      <c r="AB244" s="986"/>
    </row>
    <row r="245" spans="5:28" s="19" customFormat="1">
      <c r="E245" s="21"/>
      <c r="T245" s="20"/>
      <c r="AB245" s="986"/>
    </row>
    <row r="246" spans="5:28" s="19" customFormat="1">
      <c r="E246" s="21"/>
      <c r="T246" s="20"/>
      <c r="AB246" s="986"/>
    </row>
    <row r="247" spans="5:28" s="19" customFormat="1">
      <c r="E247" s="21"/>
      <c r="T247" s="20"/>
      <c r="AB247" s="986"/>
    </row>
    <row r="248" spans="5:28" s="19" customFormat="1">
      <c r="E248" s="21"/>
      <c r="T248" s="20"/>
      <c r="AB248" s="986"/>
    </row>
    <row r="249" spans="5:28" s="19" customFormat="1">
      <c r="E249" s="21"/>
      <c r="T249" s="20"/>
      <c r="AB249" s="986"/>
    </row>
    <row r="250" spans="5:28" s="19" customFormat="1">
      <c r="E250" s="21"/>
      <c r="T250" s="20"/>
      <c r="AB250" s="986"/>
    </row>
    <row r="251" spans="5:28" s="19" customFormat="1">
      <c r="E251" s="21"/>
      <c r="T251" s="20"/>
      <c r="AB251" s="986"/>
    </row>
    <row r="252" spans="5:28" s="19" customFormat="1">
      <c r="E252" s="21"/>
      <c r="T252" s="20"/>
      <c r="AB252" s="986"/>
    </row>
    <row r="253" spans="5:28" s="19" customFormat="1">
      <c r="E253" s="21"/>
      <c r="T253" s="20"/>
      <c r="AB253" s="986"/>
    </row>
    <row r="254" spans="5:28" s="19" customFormat="1">
      <c r="E254" s="21"/>
      <c r="T254" s="20"/>
      <c r="AB254" s="986"/>
    </row>
    <row r="255" spans="5:28" s="19" customFormat="1">
      <c r="E255" s="21"/>
      <c r="T255" s="20"/>
      <c r="AB255" s="986"/>
    </row>
    <row r="256" spans="5:28" s="19" customFormat="1">
      <c r="E256" s="21"/>
      <c r="T256" s="20"/>
      <c r="AB256" s="986"/>
    </row>
    <row r="257" spans="5:28" s="19" customFormat="1">
      <c r="E257" s="21"/>
      <c r="T257" s="20"/>
      <c r="AB257" s="986"/>
    </row>
    <row r="258" spans="5:28" s="19" customFormat="1">
      <c r="E258" s="21"/>
      <c r="T258" s="20"/>
      <c r="AB258" s="986"/>
    </row>
    <row r="259" spans="5:28" s="19" customFormat="1">
      <c r="E259" s="21"/>
      <c r="T259" s="20"/>
      <c r="AB259" s="986"/>
    </row>
    <row r="260" spans="5:28" s="19" customFormat="1">
      <c r="E260" s="21"/>
      <c r="T260" s="20"/>
      <c r="AB260" s="986"/>
    </row>
    <row r="261" spans="5:28" s="19" customFormat="1">
      <c r="E261" s="21"/>
      <c r="T261" s="20"/>
      <c r="AB261" s="986"/>
    </row>
    <row r="262" spans="5:28" s="19" customFormat="1">
      <c r="E262" s="21"/>
      <c r="T262" s="20"/>
      <c r="AB262" s="986"/>
    </row>
    <row r="263" spans="5:28" s="19" customFormat="1">
      <c r="E263" s="21"/>
      <c r="T263" s="20"/>
      <c r="AB263" s="986"/>
    </row>
    <row r="264" spans="5:28" s="19" customFormat="1">
      <c r="E264" s="21"/>
      <c r="T264" s="20"/>
      <c r="AB264" s="986"/>
    </row>
    <row r="265" spans="5:28" s="19" customFormat="1">
      <c r="E265" s="21"/>
      <c r="T265" s="20"/>
      <c r="AB265" s="986"/>
    </row>
    <row r="266" spans="5:28" s="19" customFormat="1">
      <c r="E266" s="21"/>
      <c r="T266" s="20"/>
      <c r="AB266" s="986"/>
    </row>
    <row r="267" spans="5:28" s="19" customFormat="1">
      <c r="E267" s="21"/>
      <c r="T267" s="20"/>
      <c r="AB267" s="986"/>
    </row>
    <row r="268" spans="5:28" s="19" customFormat="1">
      <c r="E268" s="21"/>
      <c r="T268" s="20"/>
      <c r="AB268" s="986"/>
    </row>
    <row r="269" spans="5:28" s="19" customFormat="1">
      <c r="E269" s="21"/>
      <c r="T269" s="20"/>
      <c r="AB269" s="986"/>
    </row>
    <row r="270" spans="5:28" s="19" customFormat="1">
      <c r="E270" s="21"/>
      <c r="T270" s="20"/>
      <c r="AB270" s="986"/>
    </row>
    <row r="271" spans="5:28" s="19" customFormat="1">
      <c r="E271" s="21"/>
      <c r="T271" s="20"/>
      <c r="AB271" s="986"/>
    </row>
    <row r="272" spans="5:28" s="19" customFormat="1">
      <c r="E272" s="21"/>
      <c r="T272" s="20"/>
      <c r="AB272" s="986"/>
    </row>
    <row r="273" spans="5:28" s="19" customFormat="1">
      <c r="E273" s="21"/>
      <c r="T273" s="20"/>
      <c r="AB273" s="986"/>
    </row>
    <row r="274" spans="5:28" s="19" customFormat="1">
      <c r="E274" s="21"/>
      <c r="T274" s="20"/>
      <c r="AB274" s="986"/>
    </row>
    <row r="275" spans="5:28" s="19" customFormat="1">
      <c r="E275" s="21"/>
      <c r="T275" s="20"/>
      <c r="AB275" s="986"/>
    </row>
    <row r="276" spans="5:28" s="19" customFormat="1">
      <c r="E276" s="21"/>
      <c r="T276" s="20"/>
      <c r="AB276" s="986"/>
    </row>
    <row r="277" spans="5:28" s="19" customFormat="1">
      <c r="E277" s="21"/>
      <c r="T277" s="20"/>
      <c r="AB277" s="986"/>
    </row>
    <row r="278" spans="5:28" s="19" customFormat="1">
      <c r="E278" s="21"/>
      <c r="T278" s="20"/>
      <c r="AB278" s="986"/>
    </row>
    <row r="279" spans="5:28" s="19" customFormat="1">
      <c r="E279" s="21"/>
      <c r="T279" s="20"/>
      <c r="AB279" s="986"/>
    </row>
    <row r="280" spans="5:28" s="19" customFormat="1">
      <c r="E280" s="21"/>
      <c r="T280" s="20"/>
      <c r="AB280" s="986"/>
    </row>
    <row r="281" spans="5:28" s="19" customFormat="1">
      <c r="E281" s="21"/>
      <c r="T281" s="20"/>
      <c r="AB281" s="986"/>
    </row>
    <row r="282" spans="5:28" s="19" customFormat="1">
      <c r="E282" s="21"/>
      <c r="T282" s="20"/>
      <c r="AB282" s="986"/>
    </row>
    <row r="283" spans="5:28" s="19" customFormat="1">
      <c r="E283" s="21"/>
      <c r="T283" s="20"/>
      <c r="AB283" s="986"/>
    </row>
    <row r="284" spans="5:28" s="19" customFormat="1">
      <c r="E284" s="21"/>
      <c r="T284" s="20"/>
      <c r="AB284" s="986"/>
    </row>
    <row r="285" spans="5:28" s="19" customFormat="1">
      <c r="E285" s="21"/>
      <c r="T285" s="20"/>
      <c r="AB285" s="986"/>
    </row>
    <row r="286" spans="5:28" s="19" customFormat="1">
      <c r="E286" s="21"/>
      <c r="T286" s="20"/>
      <c r="AB286" s="986"/>
    </row>
    <row r="287" spans="5:28" s="19" customFormat="1">
      <c r="E287" s="21"/>
      <c r="T287" s="20"/>
      <c r="AB287" s="986"/>
    </row>
    <row r="288" spans="5:28" s="19" customFormat="1">
      <c r="E288" s="21"/>
      <c r="T288" s="20"/>
      <c r="AB288" s="986"/>
    </row>
    <row r="289" spans="5:28" s="19" customFormat="1">
      <c r="E289" s="21"/>
      <c r="T289" s="20"/>
      <c r="AB289" s="986"/>
    </row>
    <row r="290" spans="5:28" s="19" customFormat="1">
      <c r="E290" s="21"/>
      <c r="T290" s="20"/>
      <c r="AB290" s="986"/>
    </row>
    <row r="291" spans="5:28" s="19" customFormat="1">
      <c r="E291" s="21"/>
      <c r="T291" s="20"/>
      <c r="AB291" s="986"/>
    </row>
    <row r="292" spans="5:28" s="19" customFormat="1">
      <c r="E292" s="21"/>
      <c r="T292" s="20"/>
      <c r="AB292" s="986"/>
    </row>
    <row r="293" spans="5:28" s="19" customFormat="1">
      <c r="E293" s="21"/>
      <c r="T293" s="20"/>
      <c r="AB293" s="986"/>
    </row>
    <row r="294" spans="5:28" s="19" customFormat="1">
      <c r="E294" s="21"/>
      <c r="T294" s="20"/>
      <c r="AB294" s="986"/>
    </row>
    <row r="295" spans="5:28" s="19" customFormat="1">
      <c r="E295" s="21"/>
      <c r="T295" s="20"/>
      <c r="AB295" s="986"/>
    </row>
    <row r="296" spans="5:28" s="19" customFormat="1">
      <c r="E296" s="21"/>
      <c r="T296" s="20"/>
      <c r="AB296" s="986"/>
    </row>
    <row r="297" spans="5:28" s="19" customFormat="1">
      <c r="E297" s="21"/>
      <c r="T297" s="20"/>
      <c r="AB297" s="986"/>
    </row>
    <row r="298" spans="5:28" s="19" customFormat="1">
      <c r="E298" s="21"/>
      <c r="T298" s="20"/>
      <c r="AB298" s="986"/>
    </row>
    <row r="299" spans="5:28" s="19" customFormat="1">
      <c r="E299" s="21"/>
      <c r="T299" s="20"/>
      <c r="AB299" s="986"/>
    </row>
    <row r="300" spans="5:28" s="19" customFormat="1">
      <c r="E300" s="21"/>
      <c r="T300" s="20"/>
      <c r="AB300" s="986"/>
    </row>
    <row r="301" spans="5:28" s="19" customFormat="1">
      <c r="E301" s="21"/>
      <c r="T301" s="20"/>
      <c r="AB301" s="986"/>
    </row>
    <row r="302" spans="5:28" s="19" customFormat="1">
      <c r="E302" s="21"/>
      <c r="T302" s="20"/>
      <c r="AB302" s="986"/>
    </row>
    <row r="303" spans="5:28" s="19" customFormat="1">
      <c r="E303" s="21"/>
      <c r="T303" s="20"/>
      <c r="AB303" s="986"/>
    </row>
    <row r="304" spans="5:28" s="19" customFormat="1">
      <c r="E304" s="21"/>
      <c r="T304" s="20"/>
      <c r="AB304" s="986"/>
    </row>
    <row r="305" spans="5:28" s="19" customFormat="1">
      <c r="E305" s="21"/>
      <c r="T305" s="20"/>
      <c r="AB305" s="986"/>
    </row>
    <row r="306" spans="5:28" s="19" customFormat="1">
      <c r="E306" s="21"/>
      <c r="T306" s="20"/>
      <c r="AB306" s="986"/>
    </row>
    <row r="307" spans="5:28" s="19" customFormat="1">
      <c r="E307" s="21"/>
      <c r="T307" s="20"/>
      <c r="AB307" s="986"/>
    </row>
    <row r="308" spans="5:28" s="19" customFormat="1">
      <c r="E308" s="21"/>
      <c r="T308" s="20"/>
      <c r="AB308" s="986"/>
    </row>
    <row r="309" spans="5:28" s="19" customFormat="1">
      <c r="E309" s="21"/>
      <c r="T309" s="20"/>
      <c r="AB309" s="986"/>
    </row>
    <row r="310" spans="5:28" s="19" customFormat="1">
      <c r="E310" s="21"/>
      <c r="T310" s="20"/>
      <c r="AB310" s="986"/>
    </row>
    <row r="311" spans="5:28" s="19" customFormat="1">
      <c r="E311" s="21"/>
      <c r="T311" s="20"/>
      <c r="AB311" s="986"/>
    </row>
    <row r="312" spans="5:28" s="19" customFormat="1">
      <c r="E312" s="21"/>
      <c r="T312" s="20"/>
      <c r="AB312" s="986"/>
    </row>
    <row r="313" spans="5:28" s="19" customFormat="1">
      <c r="E313" s="21"/>
      <c r="T313" s="20"/>
      <c r="AB313" s="986"/>
    </row>
    <row r="314" spans="5:28" s="19" customFormat="1">
      <c r="E314" s="21"/>
      <c r="T314" s="20"/>
      <c r="AB314" s="986"/>
    </row>
    <row r="315" spans="5:28" s="19" customFormat="1">
      <c r="E315" s="21"/>
      <c r="T315" s="20"/>
      <c r="AB315" s="986"/>
    </row>
    <row r="316" spans="5:28" s="19" customFormat="1">
      <c r="E316" s="21"/>
      <c r="T316" s="20"/>
      <c r="AB316" s="986"/>
    </row>
    <row r="317" spans="5:28" s="19" customFormat="1">
      <c r="E317" s="21"/>
      <c r="T317" s="20"/>
      <c r="AB317" s="986"/>
    </row>
    <row r="318" spans="5:28" s="19" customFormat="1">
      <c r="E318" s="21"/>
      <c r="T318" s="20"/>
      <c r="AB318" s="986"/>
    </row>
    <row r="319" spans="5:28" s="19" customFormat="1">
      <c r="E319" s="21"/>
      <c r="T319" s="20"/>
      <c r="AB319" s="986"/>
    </row>
    <row r="320" spans="5:28" s="19" customFormat="1">
      <c r="E320" s="21"/>
      <c r="T320" s="20"/>
      <c r="AB320" s="986"/>
    </row>
    <row r="321" spans="5:28" s="19" customFormat="1">
      <c r="E321" s="21"/>
      <c r="T321" s="20"/>
      <c r="AB321" s="986"/>
    </row>
    <row r="322" spans="5:28" s="19" customFormat="1">
      <c r="E322" s="21"/>
      <c r="T322" s="20"/>
      <c r="AB322" s="986"/>
    </row>
    <row r="323" spans="5:28" s="19" customFormat="1">
      <c r="E323" s="21"/>
      <c r="T323" s="20"/>
      <c r="AB323" s="986"/>
    </row>
    <row r="324" spans="5:28" s="19" customFormat="1">
      <c r="E324" s="21"/>
      <c r="T324" s="20"/>
      <c r="AB324" s="986"/>
    </row>
    <row r="325" spans="5:28" s="19" customFormat="1">
      <c r="E325" s="21"/>
      <c r="T325" s="20"/>
      <c r="AB325" s="986"/>
    </row>
    <row r="326" spans="5:28" s="19" customFormat="1">
      <c r="E326" s="21"/>
      <c r="T326" s="20"/>
      <c r="AB326" s="986"/>
    </row>
    <row r="327" spans="5:28" s="19" customFormat="1">
      <c r="E327" s="21"/>
      <c r="T327" s="20"/>
      <c r="AB327" s="986"/>
    </row>
    <row r="328" spans="5:28" s="19" customFormat="1">
      <c r="E328" s="21"/>
      <c r="T328" s="20"/>
      <c r="AB328" s="986"/>
    </row>
    <row r="329" spans="5:28" s="19" customFormat="1">
      <c r="E329" s="21"/>
      <c r="T329" s="20"/>
      <c r="AB329" s="986"/>
    </row>
    <row r="330" spans="5:28" s="19" customFormat="1">
      <c r="E330" s="21"/>
      <c r="T330" s="20"/>
      <c r="AB330" s="986"/>
    </row>
    <row r="331" spans="5:28" s="19" customFormat="1">
      <c r="E331" s="21"/>
      <c r="T331" s="20"/>
      <c r="AB331" s="986"/>
    </row>
    <row r="332" spans="5:28" s="19" customFormat="1">
      <c r="E332" s="21"/>
      <c r="T332" s="20"/>
      <c r="AB332" s="986"/>
    </row>
    <row r="333" spans="5:28" s="19" customFormat="1">
      <c r="E333" s="21"/>
      <c r="T333" s="20"/>
      <c r="AB333" s="986"/>
    </row>
    <row r="334" spans="5:28" s="19" customFormat="1">
      <c r="E334" s="21"/>
      <c r="T334" s="20"/>
      <c r="AB334" s="986"/>
    </row>
    <row r="335" spans="5:28" s="19" customFormat="1">
      <c r="E335" s="21"/>
      <c r="T335" s="20"/>
      <c r="AB335" s="986"/>
    </row>
    <row r="336" spans="5:28" s="19" customFormat="1">
      <c r="E336" s="21"/>
      <c r="T336" s="20"/>
      <c r="AB336" s="986"/>
    </row>
    <row r="337" spans="5:28" s="19" customFormat="1">
      <c r="E337" s="21"/>
      <c r="T337" s="20"/>
      <c r="AB337" s="986"/>
    </row>
    <row r="338" spans="5:28" s="19" customFormat="1">
      <c r="E338" s="21"/>
      <c r="T338" s="20"/>
      <c r="AB338" s="986"/>
    </row>
    <row r="339" spans="5:28" s="19" customFormat="1">
      <c r="E339" s="21"/>
      <c r="T339" s="20"/>
      <c r="AB339" s="986"/>
    </row>
    <row r="340" spans="5:28" s="19" customFormat="1">
      <c r="E340" s="21"/>
      <c r="T340" s="20"/>
      <c r="AB340" s="986"/>
    </row>
    <row r="341" spans="5:28" s="19" customFormat="1">
      <c r="E341" s="21"/>
      <c r="T341" s="20"/>
      <c r="AB341" s="986"/>
    </row>
    <row r="342" spans="5:28" s="19" customFormat="1">
      <c r="E342" s="21"/>
      <c r="T342" s="20"/>
      <c r="AB342" s="986"/>
    </row>
    <row r="343" spans="5:28" s="19" customFormat="1">
      <c r="E343" s="21"/>
      <c r="T343" s="20"/>
      <c r="AB343" s="986"/>
    </row>
    <row r="344" spans="5:28" s="19" customFormat="1">
      <c r="E344" s="21"/>
      <c r="T344" s="20"/>
      <c r="AB344" s="986"/>
    </row>
    <row r="345" spans="5:28" s="19" customFormat="1">
      <c r="E345" s="21"/>
      <c r="T345" s="20"/>
      <c r="AB345" s="986"/>
    </row>
    <row r="346" spans="5:28" s="19" customFormat="1">
      <c r="E346" s="21"/>
      <c r="T346" s="20"/>
      <c r="AB346" s="986"/>
    </row>
    <row r="347" spans="5:28" s="19" customFormat="1">
      <c r="E347" s="21"/>
      <c r="T347" s="20"/>
      <c r="AB347" s="986"/>
    </row>
    <row r="348" spans="5:28" s="19" customFormat="1">
      <c r="E348" s="21"/>
      <c r="T348" s="20"/>
      <c r="AB348" s="986"/>
    </row>
    <row r="349" spans="5:28" s="19" customFormat="1">
      <c r="E349" s="21"/>
      <c r="T349" s="20"/>
      <c r="AB349" s="986"/>
    </row>
    <row r="350" spans="5:28" s="19" customFormat="1">
      <c r="E350" s="21"/>
      <c r="T350" s="20"/>
      <c r="AB350" s="986"/>
    </row>
    <row r="351" spans="5:28" s="19" customFormat="1">
      <c r="E351" s="21"/>
      <c r="T351" s="20"/>
      <c r="AB351" s="986"/>
    </row>
    <row r="352" spans="5:28" s="19" customFormat="1">
      <c r="E352" s="21"/>
      <c r="T352" s="20"/>
      <c r="AB352" s="986"/>
    </row>
    <row r="353" spans="5:28" s="19" customFormat="1">
      <c r="E353" s="21"/>
      <c r="T353" s="20"/>
      <c r="AB353" s="986"/>
    </row>
    <row r="354" spans="5:28" s="19" customFormat="1">
      <c r="E354" s="21"/>
      <c r="T354" s="20"/>
      <c r="AB354" s="986"/>
    </row>
    <row r="355" spans="5:28" s="19" customFormat="1">
      <c r="E355" s="21"/>
      <c r="T355" s="20"/>
      <c r="AB355" s="986"/>
    </row>
    <row r="356" spans="5:28" s="19" customFormat="1">
      <c r="E356" s="21"/>
      <c r="T356" s="20"/>
      <c r="AB356" s="986"/>
    </row>
    <row r="357" spans="5:28" s="19" customFormat="1">
      <c r="E357" s="21"/>
      <c r="T357" s="20"/>
      <c r="AB357" s="986"/>
    </row>
    <row r="358" spans="5:28" s="19" customFormat="1">
      <c r="E358" s="21"/>
      <c r="T358" s="20"/>
      <c r="AB358" s="986"/>
    </row>
    <row r="359" spans="5:28" s="19" customFormat="1">
      <c r="E359" s="21"/>
      <c r="T359" s="20"/>
      <c r="AB359" s="986"/>
    </row>
    <row r="360" spans="5:28" s="19" customFormat="1">
      <c r="E360" s="21"/>
      <c r="T360" s="20"/>
      <c r="AB360" s="986"/>
    </row>
    <row r="361" spans="5:28" s="19" customFormat="1">
      <c r="E361" s="21"/>
      <c r="T361" s="20"/>
      <c r="AB361" s="986"/>
    </row>
    <row r="362" spans="5:28" s="19" customFormat="1">
      <c r="E362" s="21"/>
      <c r="T362" s="20"/>
      <c r="AB362" s="986"/>
    </row>
    <row r="363" spans="5:28" s="19" customFormat="1">
      <c r="E363" s="21"/>
      <c r="T363" s="20"/>
      <c r="AB363" s="986"/>
    </row>
    <row r="364" spans="5:28" s="19" customFormat="1">
      <c r="E364" s="21"/>
      <c r="T364" s="20"/>
      <c r="AB364" s="986"/>
    </row>
    <row r="365" spans="5:28" s="19" customFormat="1">
      <c r="E365" s="21"/>
      <c r="T365" s="20"/>
      <c r="AB365" s="986"/>
    </row>
    <row r="366" spans="5:28" s="19" customFormat="1">
      <c r="E366" s="21"/>
      <c r="T366" s="20"/>
      <c r="AB366" s="986"/>
    </row>
    <row r="367" spans="5:28" s="19" customFormat="1">
      <c r="E367" s="21"/>
      <c r="T367" s="20"/>
      <c r="AB367" s="986"/>
    </row>
    <row r="368" spans="5:28" s="19" customFormat="1">
      <c r="E368" s="21"/>
      <c r="T368" s="20"/>
      <c r="AB368" s="986"/>
    </row>
    <row r="369" spans="5:28" s="19" customFormat="1">
      <c r="E369" s="21"/>
      <c r="T369" s="20"/>
      <c r="AB369" s="986"/>
    </row>
    <row r="370" spans="5:28" s="19" customFormat="1">
      <c r="E370" s="21"/>
      <c r="T370" s="20"/>
      <c r="AB370" s="986"/>
    </row>
    <row r="371" spans="5:28" s="19" customFormat="1">
      <c r="E371" s="21"/>
      <c r="T371" s="20"/>
      <c r="AB371" s="986"/>
    </row>
    <row r="372" spans="5:28" s="19" customFormat="1">
      <c r="E372" s="21"/>
      <c r="T372" s="20"/>
      <c r="AB372" s="986"/>
    </row>
    <row r="373" spans="5:28" s="19" customFormat="1">
      <c r="E373" s="21"/>
      <c r="T373" s="20"/>
      <c r="AB373" s="986"/>
    </row>
    <row r="374" spans="5:28" s="19" customFormat="1">
      <c r="E374" s="21"/>
      <c r="T374" s="20"/>
      <c r="AB374" s="986"/>
    </row>
    <row r="375" spans="5:28" s="19" customFormat="1">
      <c r="E375" s="21"/>
      <c r="T375" s="20"/>
      <c r="AB375" s="986"/>
    </row>
    <row r="376" spans="5:28" s="19" customFormat="1">
      <c r="E376" s="21"/>
      <c r="T376" s="20"/>
      <c r="AB376" s="986"/>
    </row>
    <row r="377" spans="5:28" s="19" customFormat="1">
      <c r="E377" s="21"/>
      <c r="T377" s="20"/>
      <c r="AB377" s="986"/>
    </row>
    <row r="378" spans="5:28" s="19" customFormat="1">
      <c r="E378" s="21"/>
      <c r="T378" s="20"/>
      <c r="AB378" s="986"/>
    </row>
    <row r="379" spans="5:28" s="19" customFormat="1">
      <c r="E379" s="21"/>
      <c r="T379" s="20"/>
      <c r="AB379" s="986"/>
    </row>
    <row r="380" spans="5:28" s="19" customFormat="1">
      <c r="E380" s="21"/>
      <c r="T380" s="20"/>
      <c r="AB380" s="986"/>
    </row>
    <row r="381" spans="5:28" s="19" customFormat="1">
      <c r="E381" s="21"/>
      <c r="T381" s="20"/>
      <c r="AB381" s="986"/>
    </row>
    <row r="382" spans="5:28" s="19" customFormat="1">
      <c r="E382" s="21"/>
      <c r="T382" s="20"/>
      <c r="AB382" s="986"/>
    </row>
    <row r="383" spans="5:28" s="19" customFormat="1">
      <c r="E383" s="21"/>
      <c r="T383" s="20"/>
      <c r="AB383" s="986"/>
    </row>
    <row r="384" spans="5:28" s="19" customFormat="1">
      <c r="E384" s="21"/>
      <c r="T384" s="20"/>
      <c r="AB384" s="986"/>
    </row>
    <row r="385" spans="5:28" s="19" customFormat="1">
      <c r="E385" s="21"/>
      <c r="T385" s="20"/>
      <c r="AB385" s="986"/>
    </row>
    <row r="386" spans="5:28" s="19" customFormat="1">
      <c r="E386" s="21"/>
      <c r="T386" s="20"/>
      <c r="AB386" s="986"/>
    </row>
    <row r="387" spans="5:28" s="19" customFormat="1">
      <c r="E387" s="21"/>
      <c r="T387" s="20"/>
      <c r="AB387" s="986"/>
    </row>
    <row r="388" spans="5:28" s="19" customFormat="1">
      <c r="E388" s="21"/>
      <c r="T388" s="20"/>
      <c r="AB388" s="986"/>
    </row>
    <row r="389" spans="5:28" s="19" customFormat="1">
      <c r="E389" s="21"/>
      <c r="T389" s="20"/>
      <c r="AB389" s="986"/>
    </row>
    <row r="390" spans="5:28" s="19" customFormat="1">
      <c r="E390" s="21"/>
      <c r="T390" s="20"/>
      <c r="AB390" s="986"/>
    </row>
    <row r="391" spans="5:28" s="19" customFormat="1">
      <c r="E391" s="21"/>
      <c r="T391" s="20"/>
      <c r="AB391" s="986"/>
    </row>
    <row r="392" spans="5:28" s="19" customFormat="1">
      <c r="E392" s="21"/>
      <c r="T392" s="20"/>
      <c r="AB392" s="986"/>
    </row>
    <row r="393" spans="5:28" s="19" customFormat="1">
      <c r="E393" s="21"/>
      <c r="T393" s="20"/>
      <c r="AB393" s="986"/>
    </row>
    <row r="394" spans="5:28" s="19" customFormat="1">
      <c r="E394" s="21"/>
      <c r="T394" s="20"/>
      <c r="AB394" s="986"/>
    </row>
    <row r="395" spans="5:28" s="19" customFormat="1">
      <c r="E395" s="21"/>
      <c r="T395" s="20"/>
      <c r="AB395" s="986"/>
    </row>
    <row r="396" spans="5:28" s="19" customFormat="1">
      <c r="E396" s="21"/>
      <c r="T396" s="20"/>
      <c r="AB396" s="986"/>
    </row>
    <row r="397" spans="5:28" s="19" customFormat="1">
      <c r="E397" s="21"/>
      <c r="T397" s="20"/>
      <c r="AB397" s="986"/>
    </row>
    <row r="398" spans="5:28" s="19" customFormat="1">
      <c r="E398" s="21"/>
      <c r="T398" s="20"/>
      <c r="AB398" s="986"/>
    </row>
    <row r="399" spans="5:28" s="19" customFormat="1">
      <c r="E399" s="21"/>
      <c r="T399" s="20"/>
      <c r="AB399" s="986"/>
    </row>
    <row r="400" spans="5:28" s="19" customFormat="1">
      <c r="E400" s="21"/>
      <c r="T400" s="20"/>
      <c r="AB400" s="986"/>
    </row>
    <row r="401" spans="5:28" s="19" customFormat="1">
      <c r="E401" s="21"/>
      <c r="T401" s="20"/>
      <c r="AB401" s="986"/>
    </row>
    <row r="402" spans="5:28" s="19" customFormat="1">
      <c r="E402" s="21"/>
      <c r="T402" s="20"/>
      <c r="AB402" s="986"/>
    </row>
    <row r="403" spans="5:28" s="19" customFormat="1">
      <c r="E403" s="21"/>
      <c r="T403" s="20"/>
      <c r="AB403" s="986"/>
    </row>
    <row r="404" spans="5:28" s="19" customFormat="1">
      <c r="E404" s="21"/>
      <c r="T404" s="20"/>
      <c r="AB404" s="986"/>
    </row>
    <row r="405" spans="5:28" s="19" customFormat="1">
      <c r="E405" s="21"/>
      <c r="T405" s="20"/>
      <c r="AB405" s="986"/>
    </row>
    <row r="406" spans="5:28" s="19" customFormat="1">
      <c r="E406" s="21"/>
      <c r="T406" s="20"/>
      <c r="AB406" s="986"/>
    </row>
    <row r="407" spans="5:28" s="19" customFormat="1">
      <c r="E407" s="21"/>
      <c r="T407" s="20"/>
      <c r="AB407" s="986"/>
    </row>
    <row r="408" spans="5:28" s="19" customFormat="1">
      <c r="E408" s="21"/>
      <c r="T408" s="20"/>
      <c r="AB408" s="986"/>
    </row>
    <row r="409" spans="5:28" s="19" customFormat="1">
      <c r="E409" s="21"/>
      <c r="T409" s="20"/>
      <c r="AB409" s="986"/>
    </row>
    <row r="410" spans="5:28" s="19" customFormat="1">
      <c r="E410" s="21"/>
      <c r="T410" s="20"/>
      <c r="AB410" s="986"/>
    </row>
    <row r="411" spans="5:28" s="19" customFormat="1">
      <c r="E411" s="21"/>
      <c r="T411" s="20"/>
      <c r="AB411" s="986"/>
    </row>
    <row r="412" spans="5:28" s="19" customFormat="1">
      <c r="E412" s="21"/>
      <c r="T412" s="20"/>
      <c r="AB412" s="986"/>
    </row>
    <row r="413" spans="5:28" s="19" customFormat="1">
      <c r="E413" s="21"/>
      <c r="T413" s="20"/>
      <c r="AB413" s="986"/>
    </row>
    <row r="414" spans="5:28" s="19" customFormat="1">
      <c r="E414" s="21"/>
      <c r="T414" s="20"/>
      <c r="AB414" s="986"/>
    </row>
    <row r="415" spans="5:28" s="19" customFormat="1">
      <c r="E415" s="21"/>
      <c r="T415" s="20"/>
      <c r="AB415" s="986"/>
    </row>
    <row r="416" spans="5:28" s="19" customFormat="1">
      <c r="E416" s="21"/>
      <c r="T416" s="20"/>
      <c r="AB416" s="986"/>
    </row>
    <row r="417" spans="5:28" s="19" customFormat="1">
      <c r="E417" s="21"/>
      <c r="T417" s="20"/>
      <c r="AB417" s="986"/>
    </row>
    <row r="418" spans="5:28" s="19" customFormat="1">
      <c r="E418" s="21"/>
      <c r="T418" s="20"/>
      <c r="AB418" s="986"/>
    </row>
    <row r="419" spans="5:28" s="19" customFormat="1">
      <c r="E419" s="21"/>
      <c r="T419" s="20"/>
      <c r="AB419" s="986"/>
    </row>
    <row r="420" spans="5:28" s="19" customFormat="1">
      <c r="E420" s="21"/>
      <c r="T420" s="20"/>
      <c r="AB420" s="986"/>
    </row>
    <row r="421" spans="5:28" s="19" customFormat="1">
      <c r="E421" s="21"/>
      <c r="T421" s="20"/>
      <c r="AB421" s="986"/>
    </row>
    <row r="422" spans="5:28" s="19" customFormat="1">
      <c r="E422" s="21"/>
      <c r="T422" s="20"/>
      <c r="AB422" s="986"/>
    </row>
    <row r="423" spans="5:28" s="19" customFormat="1">
      <c r="E423" s="21"/>
      <c r="T423" s="20"/>
      <c r="AB423" s="986"/>
    </row>
    <row r="424" spans="5:28" s="19" customFormat="1">
      <c r="E424" s="21"/>
      <c r="T424" s="20"/>
      <c r="AB424" s="986"/>
    </row>
    <row r="425" spans="5:28" s="19" customFormat="1">
      <c r="E425" s="21"/>
      <c r="T425" s="20"/>
      <c r="AB425" s="986"/>
    </row>
    <row r="426" spans="5:28" s="19" customFormat="1">
      <c r="E426" s="21"/>
      <c r="T426" s="20"/>
      <c r="AB426" s="986"/>
    </row>
    <row r="427" spans="5:28" s="19" customFormat="1">
      <c r="E427" s="21"/>
      <c r="T427" s="20"/>
      <c r="AB427" s="986"/>
    </row>
    <row r="428" spans="5:28" s="19" customFormat="1">
      <c r="E428" s="21"/>
      <c r="T428" s="20"/>
      <c r="AB428" s="986"/>
    </row>
    <row r="429" spans="5:28" s="19" customFormat="1">
      <c r="E429" s="21"/>
      <c r="T429" s="20"/>
      <c r="AB429" s="986"/>
    </row>
    <row r="430" spans="5:28" s="19" customFormat="1">
      <c r="E430" s="21"/>
      <c r="T430" s="20"/>
      <c r="AB430" s="986"/>
    </row>
    <row r="431" spans="5:28" s="19" customFormat="1">
      <c r="E431" s="21"/>
      <c r="T431" s="20"/>
      <c r="AB431" s="986"/>
    </row>
    <row r="432" spans="5:28" s="19" customFormat="1">
      <c r="E432" s="21"/>
      <c r="T432" s="20"/>
      <c r="AB432" s="986"/>
    </row>
    <row r="433" spans="5:28" s="19" customFormat="1">
      <c r="E433" s="21"/>
      <c r="T433" s="20"/>
      <c r="AB433" s="986"/>
    </row>
    <row r="434" spans="5:28" s="19" customFormat="1">
      <c r="E434" s="21"/>
      <c r="T434" s="20"/>
      <c r="AB434" s="986"/>
    </row>
    <row r="435" spans="5:28" s="19" customFormat="1">
      <c r="E435" s="21"/>
      <c r="T435" s="20"/>
      <c r="AB435" s="986"/>
    </row>
    <row r="436" spans="5:28" s="19" customFormat="1">
      <c r="E436" s="21"/>
      <c r="T436" s="20"/>
      <c r="AB436" s="986"/>
    </row>
    <row r="437" spans="5:28" s="19" customFormat="1">
      <c r="E437" s="21"/>
      <c r="T437" s="20"/>
      <c r="AB437" s="986"/>
    </row>
    <row r="438" spans="5:28" s="19" customFormat="1">
      <c r="E438" s="21"/>
      <c r="T438" s="20"/>
      <c r="AB438" s="986"/>
    </row>
    <row r="439" spans="5:28" s="19" customFormat="1">
      <c r="E439" s="21"/>
      <c r="T439" s="20"/>
      <c r="AB439" s="986"/>
    </row>
    <row r="440" spans="5:28" s="19" customFormat="1">
      <c r="E440" s="21"/>
      <c r="T440" s="20"/>
      <c r="AB440" s="986"/>
    </row>
    <row r="441" spans="5:28" s="19" customFormat="1">
      <c r="E441" s="21"/>
      <c r="T441" s="20"/>
      <c r="AB441" s="986"/>
    </row>
    <row r="442" spans="5:28" s="19" customFormat="1">
      <c r="E442" s="21"/>
      <c r="T442" s="20"/>
      <c r="AB442" s="986"/>
    </row>
    <row r="443" spans="5:28" s="19" customFormat="1">
      <c r="E443" s="21"/>
      <c r="T443" s="20"/>
      <c r="AB443" s="986"/>
    </row>
    <row r="444" spans="5:28" s="19" customFormat="1">
      <c r="E444" s="21"/>
      <c r="T444" s="20"/>
      <c r="AB444" s="986"/>
    </row>
    <row r="445" spans="5:28" s="19" customFormat="1">
      <c r="E445" s="21"/>
      <c r="T445" s="20"/>
      <c r="AB445" s="986"/>
    </row>
    <row r="446" spans="5:28" s="19" customFormat="1">
      <c r="E446" s="21"/>
      <c r="T446" s="20"/>
      <c r="AB446" s="986"/>
    </row>
    <row r="447" spans="5:28" s="19" customFormat="1">
      <c r="E447" s="21"/>
      <c r="T447" s="20"/>
      <c r="AB447" s="986"/>
    </row>
    <row r="448" spans="5:28" s="19" customFormat="1">
      <c r="E448" s="21"/>
      <c r="T448" s="20"/>
      <c r="AB448" s="986"/>
    </row>
    <row r="449" spans="5:28" s="19" customFormat="1">
      <c r="E449" s="21"/>
      <c r="T449" s="20"/>
      <c r="AB449" s="986"/>
    </row>
    <row r="450" spans="5:28" s="19" customFormat="1">
      <c r="E450" s="21"/>
      <c r="T450" s="20"/>
      <c r="AB450" s="986"/>
    </row>
    <row r="451" spans="5:28" s="19" customFormat="1">
      <c r="E451" s="21"/>
      <c r="T451" s="20"/>
      <c r="AB451" s="986"/>
    </row>
    <row r="452" spans="5:28" s="19" customFormat="1">
      <c r="E452" s="21"/>
      <c r="T452" s="20"/>
      <c r="AB452" s="986"/>
    </row>
    <row r="453" spans="5:28" s="19" customFormat="1">
      <c r="E453" s="21"/>
      <c r="T453" s="20"/>
      <c r="AB453" s="986"/>
    </row>
    <row r="454" spans="5:28" s="19" customFormat="1">
      <c r="E454" s="21"/>
      <c r="T454" s="20"/>
      <c r="AB454" s="986"/>
    </row>
    <row r="455" spans="5:28" s="19" customFormat="1">
      <c r="E455" s="21"/>
      <c r="T455" s="20"/>
      <c r="AB455" s="986"/>
    </row>
    <row r="456" spans="5:28" s="19" customFormat="1">
      <c r="E456" s="21"/>
      <c r="T456" s="20"/>
      <c r="AB456" s="986"/>
    </row>
    <row r="457" spans="5:28" s="19" customFormat="1">
      <c r="E457" s="21"/>
      <c r="T457" s="20"/>
      <c r="AB457" s="986"/>
    </row>
    <row r="458" spans="5:28" s="19" customFormat="1">
      <c r="E458" s="21"/>
      <c r="T458" s="20"/>
      <c r="AB458" s="986"/>
    </row>
    <row r="459" spans="5:28" s="19" customFormat="1">
      <c r="E459" s="21"/>
      <c r="T459" s="20"/>
      <c r="AB459" s="986"/>
    </row>
    <row r="460" spans="5:28" s="19" customFormat="1">
      <c r="E460" s="21"/>
      <c r="T460" s="20"/>
      <c r="AB460" s="986"/>
    </row>
    <row r="461" spans="5:28" s="19" customFormat="1">
      <c r="E461" s="21"/>
      <c r="T461" s="20"/>
      <c r="AB461" s="986"/>
    </row>
    <row r="462" spans="5:28" s="19" customFormat="1">
      <c r="E462" s="21"/>
      <c r="T462" s="20"/>
      <c r="AB462" s="986"/>
    </row>
    <row r="463" spans="5:28" s="19" customFormat="1">
      <c r="E463" s="21"/>
      <c r="T463" s="20"/>
      <c r="AB463" s="986"/>
    </row>
    <row r="464" spans="5:28" s="19" customFormat="1">
      <c r="E464" s="21"/>
      <c r="T464" s="20"/>
      <c r="AB464" s="986"/>
    </row>
    <row r="465" spans="5:28" s="19" customFormat="1">
      <c r="E465" s="21"/>
      <c r="T465" s="20"/>
      <c r="AB465" s="986"/>
    </row>
    <row r="466" spans="5:28" s="19" customFormat="1">
      <c r="E466" s="21"/>
      <c r="T466" s="20"/>
      <c r="AB466" s="986"/>
    </row>
    <row r="467" spans="5:28" s="19" customFormat="1">
      <c r="E467" s="21"/>
      <c r="T467" s="20"/>
      <c r="AB467" s="986"/>
    </row>
    <row r="468" spans="5:28" s="19" customFormat="1">
      <c r="E468" s="21"/>
      <c r="T468" s="20"/>
      <c r="AB468" s="986"/>
    </row>
    <row r="469" spans="5:28" s="19" customFormat="1">
      <c r="E469" s="21"/>
      <c r="T469" s="20"/>
      <c r="AB469" s="986"/>
    </row>
    <row r="470" spans="5:28" s="19" customFormat="1">
      <c r="E470" s="21"/>
      <c r="T470" s="20"/>
      <c r="AB470" s="986"/>
    </row>
    <row r="471" spans="5:28" s="19" customFormat="1">
      <c r="E471" s="21"/>
      <c r="T471" s="20"/>
      <c r="AB471" s="986"/>
    </row>
    <row r="472" spans="5:28" s="19" customFormat="1">
      <c r="E472" s="21"/>
      <c r="T472" s="20"/>
      <c r="AB472" s="986"/>
    </row>
    <row r="473" spans="5:28" s="19" customFormat="1">
      <c r="E473" s="21"/>
      <c r="T473" s="20"/>
      <c r="AB473" s="986"/>
    </row>
    <row r="474" spans="5:28" s="19" customFormat="1">
      <c r="E474" s="21"/>
      <c r="T474" s="20"/>
      <c r="AB474" s="986"/>
    </row>
    <row r="475" spans="5:28" s="19" customFormat="1">
      <c r="E475" s="21"/>
      <c r="T475" s="20"/>
      <c r="AB475" s="986"/>
    </row>
    <row r="476" spans="5:28" s="19" customFormat="1">
      <c r="E476" s="21"/>
      <c r="T476" s="20"/>
      <c r="AB476" s="986"/>
    </row>
    <row r="477" spans="5:28" s="19" customFormat="1">
      <c r="E477" s="21"/>
      <c r="T477" s="20"/>
      <c r="AB477" s="986"/>
    </row>
    <row r="478" spans="5:28" s="19" customFormat="1">
      <c r="E478" s="21"/>
      <c r="T478" s="20"/>
      <c r="AB478" s="986"/>
    </row>
    <row r="479" spans="5:28" s="19" customFormat="1">
      <c r="E479" s="21"/>
      <c r="T479" s="20"/>
      <c r="AB479" s="986"/>
    </row>
    <row r="480" spans="5:28" s="19" customFormat="1">
      <c r="E480" s="21"/>
      <c r="T480" s="20"/>
      <c r="AB480" s="986"/>
    </row>
    <row r="481" spans="5:28" s="19" customFormat="1">
      <c r="E481" s="21"/>
      <c r="T481" s="20"/>
      <c r="AB481" s="986"/>
    </row>
    <row r="482" spans="5:28" s="19" customFormat="1">
      <c r="E482" s="21"/>
      <c r="T482" s="20"/>
      <c r="AB482" s="986"/>
    </row>
    <row r="483" spans="5:28" s="19" customFormat="1">
      <c r="E483" s="21"/>
      <c r="T483" s="20"/>
      <c r="AB483" s="986"/>
    </row>
    <row r="484" spans="5:28" s="19" customFormat="1">
      <c r="E484" s="21"/>
      <c r="T484" s="20"/>
      <c r="AB484" s="986"/>
    </row>
    <row r="485" spans="5:28" s="19" customFormat="1">
      <c r="E485" s="21"/>
      <c r="T485" s="20"/>
      <c r="AB485" s="986"/>
    </row>
    <row r="486" spans="5:28" s="19" customFormat="1">
      <c r="E486" s="21"/>
      <c r="T486" s="20"/>
      <c r="AB486" s="986"/>
    </row>
    <row r="487" spans="5:28" s="19" customFormat="1">
      <c r="E487" s="21"/>
      <c r="T487" s="20"/>
      <c r="AB487" s="986"/>
    </row>
    <row r="488" spans="5:28" s="19" customFormat="1">
      <c r="E488" s="21"/>
      <c r="T488" s="20"/>
      <c r="AB488" s="986"/>
    </row>
    <row r="489" spans="5:28" s="19" customFormat="1">
      <c r="E489" s="21"/>
      <c r="T489" s="20"/>
      <c r="AB489" s="986"/>
    </row>
    <row r="490" spans="5:28" s="19" customFormat="1">
      <c r="E490" s="21"/>
      <c r="T490" s="20"/>
      <c r="AB490" s="986"/>
    </row>
    <row r="491" spans="5:28" s="19" customFormat="1">
      <c r="E491" s="21"/>
      <c r="T491" s="20"/>
      <c r="AB491" s="986"/>
    </row>
    <row r="492" spans="5:28" s="19" customFormat="1">
      <c r="E492" s="21"/>
      <c r="T492" s="20"/>
      <c r="AB492" s="986"/>
    </row>
    <row r="493" spans="5:28" s="19" customFormat="1">
      <c r="E493" s="21"/>
      <c r="T493" s="20"/>
      <c r="AB493" s="986"/>
    </row>
    <row r="494" spans="5:28" s="19" customFormat="1">
      <c r="E494" s="21"/>
      <c r="T494" s="20"/>
      <c r="AB494" s="986"/>
    </row>
    <row r="495" spans="5:28" s="19" customFormat="1">
      <c r="E495" s="21"/>
      <c r="T495" s="20"/>
      <c r="AB495" s="986"/>
    </row>
    <row r="496" spans="5:28" s="19" customFormat="1">
      <c r="E496" s="21"/>
      <c r="T496" s="20"/>
      <c r="AB496" s="986"/>
    </row>
    <row r="497" spans="5:28" s="19" customFormat="1">
      <c r="E497" s="21"/>
      <c r="T497" s="20"/>
      <c r="AB497" s="986"/>
    </row>
    <row r="498" spans="5:28" s="19" customFormat="1">
      <c r="E498" s="21"/>
      <c r="T498" s="20"/>
      <c r="AB498" s="986"/>
    </row>
    <row r="499" spans="5:28" s="19" customFormat="1">
      <c r="E499" s="21"/>
      <c r="T499" s="20"/>
      <c r="AB499" s="986"/>
    </row>
    <row r="500" spans="5:28" s="19" customFormat="1">
      <c r="E500" s="21"/>
      <c r="T500" s="20"/>
      <c r="AB500" s="986"/>
    </row>
    <row r="501" spans="5:28" s="19" customFormat="1">
      <c r="E501" s="21"/>
      <c r="T501" s="20"/>
      <c r="AB501" s="986"/>
    </row>
    <row r="502" spans="5:28" s="19" customFormat="1">
      <c r="E502" s="21"/>
      <c r="T502" s="20"/>
      <c r="AB502" s="986"/>
    </row>
    <row r="503" spans="5:28" s="19" customFormat="1">
      <c r="E503" s="21"/>
      <c r="T503" s="20"/>
      <c r="AB503" s="986"/>
    </row>
    <row r="504" spans="5:28" s="19" customFormat="1">
      <c r="E504" s="21"/>
      <c r="T504" s="20"/>
      <c r="AB504" s="986"/>
    </row>
    <row r="505" spans="5:28" s="19" customFormat="1">
      <c r="E505" s="21"/>
      <c r="T505" s="20"/>
      <c r="AB505" s="986"/>
    </row>
    <row r="506" spans="5:28" s="19" customFormat="1">
      <c r="E506" s="21"/>
      <c r="T506" s="20"/>
      <c r="AB506" s="986"/>
    </row>
    <row r="507" spans="5:28" s="19" customFormat="1">
      <c r="E507" s="21"/>
      <c r="T507" s="20"/>
      <c r="AB507" s="986"/>
    </row>
    <row r="508" spans="5:28" s="19" customFormat="1">
      <c r="E508" s="21"/>
      <c r="T508" s="20"/>
      <c r="AB508" s="986"/>
    </row>
    <row r="509" spans="5:28" s="19" customFormat="1">
      <c r="E509" s="21"/>
      <c r="T509" s="20"/>
      <c r="AB509" s="986"/>
    </row>
    <row r="510" spans="5:28" s="19" customFormat="1">
      <c r="E510" s="21"/>
      <c r="T510" s="20"/>
      <c r="AB510" s="986"/>
    </row>
    <row r="511" spans="5:28" s="19" customFormat="1">
      <c r="E511" s="21"/>
      <c r="T511" s="20"/>
      <c r="AB511" s="986"/>
    </row>
    <row r="512" spans="5:28" s="19" customFormat="1">
      <c r="E512" s="21"/>
      <c r="T512" s="20"/>
      <c r="AB512" s="986"/>
    </row>
    <row r="513" spans="5:28" s="19" customFormat="1">
      <c r="E513" s="21"/>
      <c r="T513" s="20"/>
      <c r="AB513" s="986"/>
    </row>
    <row r="514" spans="5:28" s="19" customFormat="1">
      <c r="E514" s="21"/>
      <c r="T514" s="20"/>
      <c r="AB514" s="986"/>
    </row>
    <row r="515" spans="5:28" s="19" customFormat="1">
      <c r="E515" s="21"/>
      <c r="T515" s="20"/>
      <c r="AB515" s="986"/>
    </row>
    <row r="516" spans="5:28" s="19" customFormat="1">
      <c r="E516" s="21"/>
      <c r="T516" s="20"/>
      <c r="AB516" s="986"/>
    </row>
    <row r="517" spans="5:28" s="19" customFormat="1">
      <c r="E517" s="21"/>
      <c r="T517" s="20"/>
      <c r="AB517" s="986"/>
    </row>
    <row r="518" spans="5:28" s="19" customFormat="1">
      <c r="E518" s="21"/>
      <c r="T518" s="20"/>
      <c r="AB518" s="986"/>
    </row>
    <row r="519" spans="5:28" s="19" customFormat="1">
      <c r="E519" s="21"/>
      <c r="T519" s="20"/>
      <c r="AB519" s="986"/>
    </row>
    <row r="520" spans="5:28" s="19" customFormat="1">
      <c r="E520" s="21"/>
      <c r="T520" s="20"/>
      <c r="AB520" s="986"/>
    </row>
    <row r="521" spans="5:28" s="19" customFormat="1">
      <c r="E521" s="21"/>
      <c r="T521" s="20"/>
      <c r="AB521" s="986"/>
    </row>
    <row r="522" spans="5:28" s="19" customFormat="1">
      <c r="E522" s="21"/>
      <c r="T522" s="20"/>
      <c r="AB522" s="986"/>
    </row>
    <row r="523" spans="5:28" s="19" customFormat="1">
      <c r="E523" s="21"/>
      <c r="T523" s="20"/>
      <c r="AB523" s="986"/>
    </row>
    <row r="524" spans="5:28" s="19" customFormat="1">
      <c r="E524" s="21"/>
      <c r="T524" s="20"/>
      <c r="AB524" s="986"/>
    </row>
    <row r="525" spans="5:28" s="19" customFormat="1">
      <c r="E525" s="21"/>
      <c r="T525" s="20"/>
      <c r="AB525" s="986"/>
    </row>
    <row r="526" spans="5:28" s="19" customFormat="1">
      <c r="E526" s="21"/>
      <c r="T526" s="20"/>
      <c r="AB526" s="986"/>
    </row>
    <row r="527" spans="5:28" s="19" customFormat="1">
      <c r="E527" s="21"/>
      <c r="T527" s="20"/>
      <c r="AB527" s="986"/>
    </row>
    <row r="528" spans="5:28" s="19" customFormat="1">
      <c r="E528" s="21"/>
      <c r="T528" s="20"/>
      <c r="AB528" s="986"/>
    </row>
    <row r="529" spans="5:28" s="19" customFormat="1">
      <c r="E529" s="21"/>
      <c r="T529" s="20"/>
      <c r="AB529" s="986"/>
    </row>
    <row r="530" spans="5:28" s="19" customFormat="1">
      <c r="E530" s="21"/>
      <c r="T530" s="20"/>
      <c r="AB530" s="986"/>
    </row>
    <row r="531" spans="5:28" s="19" customFormat="1">
      <c r="E531" s="21"/>
      <c r="T531" s="20"/>
      <c r="AB531" s="986"/>
    </row>
    <row r="532" spans="5:28" s="19" customFormat="1">
      <c r="E532" s="21"/>
      <c r="T532" s="20"/>
      <c r="AB532" s="986"/>
    </row>
    <row r="533" spans="5:28" s="19" customFormat="1">
      <c r="E533" s="21"/>
      <c r="T533" s="20"/>
      <c r="AB533" s="986"/>
    </row>
    <row r="534" spans="5:28" s="19" customFormat="1">
      <c r="E534" s="21"/>
      <c r="T534" s="20"/>
      <c r="AB534" s="986"/>
    </row>
    <row r="535" spans="5:28" s="19" customFormat="1">
      <c r="E535" s="21"/>
      <c r="T535" s="20"/>
      <c r="AB535" s="986"/>
    </row>
    <row r="536" spans="5:28" s="19" customFormat="1">
      <c r="E536" s="21"/>
      <c r="T536" s="20"/>
      <c r="AB536" s="986"/>
    </row>
    <row r="537" spans="5:28" s="19" customFormat="1">
      <c r="E537" s="21"/>
      <c r="T537" s="20"/>
      <c r="AB537" s="986"/>
    </row>
    <row r="538" spans="5:28" s="19" customFormat="1">
      <c r="E538" s="21"/>
      <c r="T538" s="20"/>
      <c r="AB538" s="986"/>
    </row>
    <row r="539" spans="5:28" s="19" customFormat="1">
      <c r="E539" s="21"/>
      <c r="T539" s="20"/>
      <c r="AB539" s="986"/>
    </row>
    <row r="540" spans="5:28" s="19" customFormat="1">
      <c r="E540" s="21"/>
      <c r="T540" s="20"/>
      <c r="AB540" s="986"/>
    </row>
    <row r="541" spans="5:28" s="19" customFormat="1">
      <c r="E541" s="21"/>
      <c r="T541" s="20"/>
      <c r="AB541" s="986"/>
    </row>
    <row r="542" spans="5:28" s="19" customFormat="1">
      <c r="E542" s="21"/>
      <c r="T542" s="20"/>
      <c r="AB542" s="986"/>
    </row>
    <row r="543" spans="5:28" s="19" customFormat="1">
      <c r="E543" s="21"/>
      <c r="T543" s="20"/>
      <c r="AB543" s="986"/>
    </row>
    <row r="544" spans="5:28" s="19" customFormat="1">
      <c r="E544" s="21"/>
      <c r="T544" s="20"/>
      <c r="AB544" s="986"/>
    </row>
    <row r="545" spans="5:28" s="19" customFormat="1">
      <c r="E545" s="21"/>
      <c r="T545" s="20"/>
      <c r="AB545" s="986"/>
    </row>
    <row r="546" spans="5:28" s="19" customFormat="1">
      <c r="E546" s="21"/>
      <c r="T546" s="20"/>
      <c r="AB546" s="986"/>
    </row>
    <row r="547" spans="5:28" s="19" customFormat="1">
      <c r="E547" s="21"/>
      <c r="T547" s="20"/>
      <c r="AB547" s="986"/>
    </row>
    <row r="548" spans="5:28" s="19" customFormat="1">
      <c r="E548" s="21"/>
      <c r="T548" s="20"/>
      <c r="AB548" s="986"/>
    </row>
    <row r="549" spans="5:28" s="19" customFormat="1">
      <c r="E549" s="21"/>
      <c r="T549" s="20"/>
      <c r="AB549" s="986"/>
    </row>
    <row r="550" spans="5:28" s="19" customFormat="1">
      <c r="E550" s="21"/>
      <c r="T550" s="20"/>
      <c r="AB550" s="986"/>
    </row>
    <row r="551" spans="5:28" s="19" customFormat="1">
      <c r="E551" s="21"/>
      <c r="T551" s="20"/>
      <c r="AB551" s="986"/>
    </row>
    <row r="552" spans="5:28" s="19" customFormat="1">
      <c r="E552" s="21"/>
      <c r="T552" s="20"/>
      <c r="AB552" s="986"/>
    </row>
    <row r="553" spans="5:28" s="19" customFormat="1">
      <c r="E553" s="21"/>
      <c r="T553" s="20"/>
      <c r="AB553" s="986"/>
    </row>
    <row r="554" spans="5:28" s="19" customFormat="1">
      <c r="E554" s="21"/>
      <c r="T554" s="20"/>
      <c r="AB554" s="986"/>
    </row>
    <row r="555" spans="5:28" s="19" customFormat="1">
      <c r="E555" s="21"/>
      <c r="T555" s="20"/>
      <c r="AB555" s="986"/>
    </row>
    <row r="556" spans="5:28" s="19" customFormat="1">
      <c r="E556" s="21"/>
      <c r="T556" s="20"/>
      <c r="AB556" s="986"/>
    </row>
    <row r="557" spans="5:28" s="19" customFormat="1">
      <c r="E557" s="21"/>
      <c r="T557" s="20"/>
      <c r="AB557" s="986"/>
    </row>
    <row r="558" spans="5:28" s="19" customFormat="1">
      <c r="E558" s="21"/>
      <c r="T558" s="20"/>
      <c r="AB558" s="986"/>
    </row>
    <row r="559" spans="5:28" s="19" customFormat="1">
      <c r="E559" s="21"/>
      <c r="T559" s="20"/>
      <c r="AB559" s="986"/>
    </row>
    <row r="560" spans="5:28" s="19" customFormat="1">
      <c r="E560" s="21"/>
      <c r="T560" s="20"/>
      <c r="AB560" s="986"/>
    </row>
    <row r="561" spans="5:28" s="19" customFormat="1">
      <c r="E561" s="21"/>
      <c r="T561" s="20"/>
      <c r="AB561" s="986"/>
    </row>
    <row r="562" spans="5:28" s="19" customFormat="1">
      <c r="E562" s="21"/>
      <c r="T562" s="20"/>
      <c r="AB562" s="986"/>
    </row>
    <row r="563" spans="5:28" s="19" customFormat="1">
      <c r="E563" s="21"/>
      <c r="T563" s="20"/>
      <c r="AB563" s="986"/>
    </row>
    <row r="564" spans="5:28" s="19" customFormat="1">
      <c r="E564" s="21"/>
      <c r="T564" s="20"/>
      <c r="AB564" s="986"/>
    </row>
    <row r="565" spans="5:28" s="19" customFormat="1">
      <c r="E565" s="21"/>
      <c r="T565" s="20"/>
      <c r="AB565" s="986"/>
    </row>
    <row r="566" spans="5:28" s="19" customFormat="1">
      <c r="E566" s="21"/>
      <c r="T566" s="20"/>
      <c r="AB566" s="986"/>
    </row>
    <row r="567" spans="5:28" s="19" customFormat="1">
      <c r="E567" s="21"/>
      <c r="T567" s="20"/>
      <c r="AB567" s="986"/>
    </row>
    <row r="568" spans="5:28" s="19" customFormat="1">
      <c r="E568" s="21"/>
      <c r="T568" s="20"/>
      <c r="AB568" s="986"/>
    </row>
    <row r="569" spans="5:28" s="19" customFormat="1">
      <c r="E569" s="21"/>
      <c r="T569" s="20"/>
      <c r="AB569" s="986"/>
    </row>
    <row r="570" spans="5:28" s="19" customFormat="1">
      <c r="E570" s="21"/>
      <c r="T570" s="20"/>
      <c r="AB570" s="986"/>
    </row>
    <row r="571" spans="5:28" s="19" customFormat="1">
      <c r="E571" s="21"/>
      <c r="T571" s="20"/>
      <c r="AB571" s="986"/>
    </row>
    <row r="572" spans="5:28" s="19" customFormat="1">
      <c r="E572" s="21"/>
      <c r="T572" s="20"/>
      <c r="AB572" s="986"/>
    </row>
    <row r="573" spans="5:28" s="19" customFormat="1">
      <c r="E573" s="21"/>
      <c r="T573" s="20"/>
      <c r="AB573" s="986"/>
    </row>
    <row r="574" spans="5:28" s="19" customFormat="1">
      <c r="E574" s="21"/>
      <c r="T574" s="20"/>
      <c r="AB574" s="986"/>
    </row>
    <row r="575" spans="5:28" s="19" customFormat="1">
      <c r="E575" s="21"/>
      <c r="T575" s="20"/>
      <c r="AB575" s="986"/>
    </row>
    <row r="576" spans="5:28" s="19" customFormat="1">
      <c r="E576" s="21"/>
      <c r="T576" s="20"/>
      <c r="AB576" s="986"/>
    </row>
    <row r="577" spans="5:28" s="19" customFormat="1">
      <c r="E577" s="21"/>
      <c r="T577" s="20"/>
      <c r="AB577" s="986"/>
    </row>
    <row r="578" spans="5:28" s="19" customFormat="1">
      <c r="E578" s="21"/>
      <c r="T578" s="20"/>
      <c r="AB578" s="986"/>
    </row>
    <row r="579" spans="5:28" s="19" customFormat="1">
      <c r="E579" s="21"/>
      <c r="T579" s="20"/>
      <c r="AB579" s="986"/>
    </row>
    <row r="580" spans="5:28" s="19" customFormat="1">
      <c r="E580" s="21"/>
      <c r="T580" s="20"/>
      <c r="AB580" s="986"/>
    </row>
    <row r="581" spans="5:28" s="19" customFormat="1">
      <c r="E581" s="21"/>
      <c r="T581" s="20"/>
      <c r="AB581" s="986"/>
    </row>
    <row r="582" spans="5:28" s="19" customFormat="1">
      <c r="E582" s="21"/>
      <c r="T582" s="20"/>
      <c r="AB582" s="986"/>
    </row>
    <row r="583" spans="5:28" s="19" customFormat="1">
      <c r="E583" s="21"/>
      <c r="T583" s="20"/>
      <c r="AB583" s="986"/>
    </row>
    <row r="584" spans="5:28" s="19" customFormat="1">
      <c r="E584" s="21"/>
      <c r="T584" s="20"/>
      <c r="AB584" s="986"/>
    </row>
    <row r="585" spans="5:28" s="19" customFormat="1">
      <c r="E585" s="21"/>
      <c r="T585" s="20"/>
      <c r="AB585" s="986"/>
    </row>
    <row r="586" spans="5:28" s="19" customFormat="1">
      <c r="E586" s="21"/>
      <c r="T586" s="20"/>
      <c r="AB586" s="986"/>
    </row>
    <row r="587" spans="5:28" s="19" customFormat="1">
      <c r="E587" s="21"/>
      <c r="T587" s="20"/>
      <c r="AB587" s="986"/>
    </row>
    <row r="588" spans="5:28" s="19" customFormat="1">
      <c r="E588" s="21"/>
      <c r="T588" s="20"/>
      <c r="AB588" s="986"/>
    </row>
    <row r="589" spans="5:28" s="19" customFormat="1">
      <c r="E589" s="21"/>
      <c r="T589" s="20"/>
      <c r="AB589" s="986"/>
    </row>
    <row r="590" spans="5:28" s="19" customFormat="1">
      <c r="E590" s="21"/>
      <c r="T590" s="20"/>
      <c r="AB590" s="986"/>
    </row>
    <row r="591" spans="5:28" s="19" customFormat="1">
      <c r="E591" s="21"/>
      <c r="T591" s="20"/>
      <c r="AB591" s="986"/>
    </row>
    <row r="592" spans="5:28" s="19" customFormat="1">
      <c r="E592" s="21"/>
      <c r="T592" s="20"/>
      <c r="AB592" s="986"/>
    </row>
    <row r="593" spans="5:28" s="19" customFormat="1">
      <c r="E593" s="21"/>
      <c r="T593" s="20"/>
      <c r="AB593" s="986"/>
    </row>
    <row r="594" spans="5:28" s="19" customFormat="1">
      <c r="E594" s="21"/>
      <c r="T594" s="20"/>
      <c r="AB594" s="986"/>
    </row>
    <row r="595" spans="5:28" s="19" customFormat="1">
      <c r="E595" s="21"/>
      <c r="T595" s="20"/>
      <c r="AB595" s="986"/>
    </row>
    <row r="596" spans="5:28" s="19" customFormat="1">
      <c r="E596" s="21"/>
      <c r="T596" s="20"/>
      <c r="AB596" s="986"/>
    </row>
    <row r="597" spans="5:28" s="19" customFormat="1">
      <c r="E597" s="21"/>
      <c r="T597" s="20"/>
      <c r="AB597" s="986"/>
    </row>
    <row r="598" spans="5:28" s="19" customFormat="1">
      <c r="E598" s="21"/>
      <c r="T598" s="20"/>
      <c r="AB598" s="986"/>
    </row>
    <row r="599" spans="5:28" s="19" customFormat="1">
      <c r="E599" s="21"/>
      <c r="T599" s="20"/>
      <c r="AB599" s="986"/>
    </row>
  </sheetData>
  <sheetProtection password="EAD7" sheet="1" objects="1" scenarios="1"/>
  <mergeCells count="9">
    <mergeCell ref="A48:A53"/>
    <mergeCell ref="H9:J9"/>
    <mergeCell ref="F10:G10"/>
    <mergeCell ref="P9:R9"/>
    <mergeCell ref="N2:O2"/>
    <mergeCell ref="K2:L2"/>
    <mergeCell ref="A43:A47"/>
    <mergeCell ref="A17:A21"/>
    <mergeCell ref="A24:A28"/>
  </mergeCells>
  <hyperlinks>
    <hyperlink ref="N2" location="Startseite!C7" display="zurück zur Startseite" xr:uid="{00000000-0004-0000-0700-000000000000}"/>
    <hyperlink ref="K2" location="Rentabilität!B8" display="zur Rentabilitätsberechnung" xr:uid="{00000000-0004-0000-0700-000001000000}"/>
    <hyperlink ref="K2:L2" location="Rentabilität!D11" display="zur Rentabilitätsberechnung" xr:uid="{00000000-0004-0000-0700-000002000000}"/>
  </hyperlinks>
  <printOptions horizontalCentered="1"/>
  <pageMargins left="0.23622047244094491" right="0.23622047244094491" top="0.78740157480314965" bottom="0.47244094488188981" header="0.51181102362204722" footer="0.31496062992125984"/>
  <pageSetup paperSize="9" scale="69"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662" r:id="rId4" name="Button 86">
              <controlPr defaultSize="0" print="0" autoFill="0" autoPict="0" macro="[0]!PersKostMitarbProdAusblenden">
                <anchor moveWithCells="1" sizeWithCells="1">
                  <from>
                    <xdr:col>9</xdr:col>
                    <xdr:colOff>403860</xdr:colOff>
                    <xdr:row>47</xdr:row>
                    <xdr:rowOff>60960</xdr:rowOff>
                  </from>
                  <to>
                    <xdr:col>9</xdr:col>
                    <xdr:colOff>403860</xdr:colOff>
                    <xdr:row>47</xdr:row>
                    <xdr:rowOff>60960</xdr:rowOff>
                  </to>
                </anchor>
              </controlPr>
            </control>
          </mc:Choice>
        </mc:AlternateContent>
        <mc:AlternateContent xmlns:mc="http://schemas.openxmlformats.org/markup-compatibility/2006">
          <mc:Choice Requires="x14">
            <control shapeId="24664" r:id="rId5" name="Button 88">
              <controlPr defaultSize="0" print="0" autoFill="0" autoPict="0" macro="[0]!PersKostMitarbProdAusblenden">
                <anchor moveWithCells="1" sizeWithCells="1">
                  <from>
                    <xdr:col>9</xdr:col>
                    <xdr:colOff>403860</xdr:colOff>
                    <xdr:row>47</xdr:row>
                    <xdr:rowOff>30480</xdr:rowOff>
                  </from>
                  <to>
                    <xdr:col>9</xdr:col>
                    <xdr:colOff>403860</xdr:colOff>
                    <xdr:row>47</xdr:row>
                    <xdr:rowOff>30480</xdr:rowOff>
                  </to>
                </anchor>
              </controlPr>
            </control>
          </mc:Choice>
        </mc:AlternateContent>
        <mc:AlternateContent xmlns:mc="http://schemas.openxmlformats.org/markup-compatibility/2006">
          <mc:Choice Requires="x14">
            <control shapeId="24665" r:id="rId6" name="Button 89">
              <controlPr defaultSize="0" print="0" autoFill="0" autoPict="0" macro="[0]!PersKostMitarbProdAusblenden">
                <anchor moveWithCells="1" sizeWithCells="1">
                  <from>
                    <xdr:col>9</xdr:col>
                    <xdr:colOff>403860</xdr:colOff>
                    <xdr:row>18</xdr:row>
                    <xdr:rowOff>137160</xdr:rowOff>
                  </from>
                  <to>
                    <xdr:col>9</xdr:col>
                    <xdr:colOff>403860</xdr:colOff>
                    <xdr:row>18</xdr:row>
                    <xdr:rowOff>137160</xdr:rowOff>
                  </to>
                </anchor>
              </controlPr>
            </control>
          </mc:Choice>
        </mc:AlternateContent>
        <mc:AlternateContent xmlns:mc="http://schemas.openxmlformats.org/markup-compatibility/2006">
          <mc:Choice Requires="x14">
            <control shapeId="24671" r:id="rId7" name="Button 95">
              <controlPr defaultSize="0" print="0" autoFill="0" autoPict="0" macro="[0]!PersKostMitarbProdAusblenden">
                <anchor moveWithCells="1" sizeWithCells="1">
                  <from>
                    <xdr:col>8</xdr:col>
                    <xdr:colOff>304800</xdr:colOff>
                    <xdr:row>15</xdr:row>
                    <xdr:rowOff>137160</xdr:rowOff>
                  </from>
                  <to>
                    <xdr:col>8</xdr:col>
                    <xdr:colOff>304800</xdr:colOff>
                    <xdr:row>15</xdr:row>
                    <xdr:rowOff>137160</xdr:rowOff>
                  </to>
                </anchor>
              </controlPr>
            </control>
          </mc:Choice>
        </mc:AlternateContent>
        <mc:AlternateContent xmlns:mc="http://schemas.openxmlformats.org/markup-compatibility/2006">
          <mc:Choice Requires="x14">
            <control shapeId="24672" r:id="rId8" name="Button 96">
              <controlPr defaultSize="0" print="0" autoFill="0" autoPict="0" macro="[0]!PersKostMitarbProdAusblenden">
                <anchor moveWithCells="1" sizeWithCells="1">
                  <from>
                    <xdr:col>8</xdr:col>
                    <xdr:colOff>304800</xdr:colOff>
                    <xdr:row>16</xdr:row>
                    <xdr:rowOff>137160</xdr:rowOff>
                  </from>
                  <to>
                    <xdr:col>8</xdr:col>
                    <xdr:colOff>304800</xdr:colOff>
                    <xdr:row>16</xdr:row>
                    <xdr:rowOff>137160</xdr:rowOff>
                  </to>
                </anchor>
              </controlPr>
            </control>
          </mc:Choice>
        </mc:AlternateContent>
        <mc:AlternateContent xmlns:mc="http://schemas.openxmlformats.org/markup-compatibility/2006">
          <mc:Choice Requires="x14">
            <control shapeId="24673" r:id="rId9" name="Button 97">
              <controlPr defaultSize="0" print="0" autoFill="0" autoPict="0" macro="[0]!PersKostMitarbProdAusblenden">
                <anchor moveWithCells="1" sizeWithCells="1">
                  <from>
                    <xdr:col>8</xdr:col>
                    <xdr:colOff>304800</xdr:colOff>
                    <xdr:row>17</xdr:row>
                    <xdr:rowOff>137160</xdr:rowOff>
                  </from>
                  <to>
                    <xdr:col>8</xdr:col>
                    <xdr:colOff>304800</xdr:colOff>
                    <xdr:row>17</xdr:row>
                    <xdr:rowOff>137160</xdr:rowOff>
                  </to>
                </anchor>
              </controlPr>
            </control>
          </mc:Choice>
        </mc:AlternateContent>
        <mc:AlternateContent xmlns:mc="http://schemas.openxmlformats.org/markup-compatibility/2006">
          <mc:Choice Requires="x14">
            <control shapeId="24674" r:id="rId10" name="Button 98">
              <controlPr defaultSize="0" print="0" autoFill="0" autoPict="0" macro="[0]!PersKostMitarbProdAusblenden">
                <anchor moveWithCells="1" sizeWithCells="1">
                  <from>
                    <xdr:col>8</xdr:col>
                    <xdr:colOff>304800</xdr:colOff>
                    <xdr:row>18</xdr:row>
                    <xdr:rowOff>137160</xdr:rowOff>
                  </from>
                  <to>
                    <xdr:col>8</xdr:col>
                    <xdr:colOff>304800</xdr:colOff>
                    <xdr:row>18</xdr:row>
                    <xdr:rowOff>137160</xdr:rowOff>
                  </to>
                </anchor>
              </controlPr>
            </control>
          </mc:Choice>
        </mc:AlternateContent>
        <mc:AlternateContent xmlns:mc="http://schemas.openxmlformats.org/markup-compatibility/2006">
          <mc:Choice Requires="x14">
            <control shapeId="24675" r:id="rId11" name="Button 99">
              <controlPr defaultSize="0" print="0" autoFill="0" autoPict="0" macro="[0]!PersKostMitarbProdAusblenden">
                <anchor moveWithCells="1" sizeWithCells="1">
                  <from>
                    <xdr:col>8</xdr:col>
                    <xdr:colOff>304800</xdr:colOff>
                    <xdr:row>19</xdr:row>
                    <xdr:rowOff>137160</xdr:rowOff>
                  </from>
                  <to>
                    <xdr:col>8</xdr:col>
                    <xdr:colOff>304800</xdr:colOff>
                    <xdr:row>19</xdr:row>
                    <xdr:rowOff>137160</xdr:rowOff>
                  </to>
                </anchor>
              </controlPr>
            </control>
          </mc:Choice>
        </mc:AlternateContent>
        <mc:AlternateContent xmlns:mc="http://schemas.openxmlformats.org/markup-compatibility/2006">
          <mc:Choice Requires="x14">
            <control shapeId="24676" r:id="rId12" name="Button 100">
              <controlPr defaultSize="0" print="0" autoFill="0" autoPict="0" macro="[0]!PersKostMitarbProdAusblenden">
                <anchor moveWithCells="1" sizeWithCells="1">
                  <from>
                    <xdr:col>8</xdr:col>
                    <xdr:colOff>304800</xdr:colOff>
                    <xdr:row>20</xdr:row>
                    <xdr:rowOff>137160</xdr:rowOff>
                  </from>
                  <to>
                    <xdr:col>8</xdr:col>
                    <xdr:colOff>304800</xdr:colOff>
                    <xdr:row>20</xdr:row>
                    <xdr:rowOff>137160</xdr:rowOff>
                  </to>
                </anchor>
              </controlPr>
            </control>
          </mc:Choice>
        </mc:AlternateContent>
        <mc:AlternateContent xmlns:mc="http://schemas.openxmlformats.org/markup-compatibility/2006">
          <mc:Choice Requires="x14">
            <control shapeId="24677" r:id="rId13" name="Button 101">
              <controlPr defaultSize="0" print="0" autoFill="0" autoPict="0" macro="[0]!PersKostMitarbProdAusblenden">
                <anchor moveWithCells="1" sizeWithCells="1">
                  <from>
                    <xdr:col>8</xdr:col>
                    <xdr:colOff>304800</xdr:colOff>
                    <xdr:row>21</xdr:row>
                    <xdr:rowOff>137160</xdr:rowOff>
                  </from>
                  <to>
                    <xdr:col>8</xdr:col>
                    <xdr:colOff>304800</xdr:colOff>
                    <xdr:row>21</xdr:row>
                    <xdr:rowOff>137160</xdr:rowOff>
                  </to>
                </anchor>
              </controlPr>
            </control>
          </mc:Choice>
        </mc:AlternateContent>
        <mc:AlternateContent xmlns:mc="http://schemas.openxmlformats.org/markup-compatibility/2006">
          <mc:Choice Requires="x14">
            <control shapeId="24678" r:id="rId14" name="Button 102">
              <controlPr defaultSize="0" print="0" autoFill="0" autoPict="0" macro="[0]!PersKostMitarbProdAusblenden">
                <anchor moveWithCells="1" sizeWithCells="1">
                  <from>
                    <xdr:col>8</xdr:col>
                    <xdr:colOff>304800</xdr:colOff>
                    <xdr:row>22</xdr:row>
                    <xdr:rowOff>0</xdr:rowOff>
                  </from>
                  <to>
                    <xdr:col>8</xdr:col>
                    <xdr:colOff>304800</xdr:colOff>
                    <xdr:row>22</xdr:row>
                    <xdr:rowOff>0</xdr:rowOff>
                  </to>
                </anchor>
              </controlPr>
            </control>
          </mc:Choice>
        </mc:AlternateContent>
        <mc:AlternateContent xmlns:mc="http://schemas.openxmlformats.org/markup-compatibility/2006">
          <mc:Choice Requires="x14">
            <control shapeId="24679" r:id="rId15" name="Button 103">
              <controlPr defaultSize="0" print="0" autoFill="0" autoPict="0" macro="[0]!PersKostMitarbProdAusblenden">
                <anchor moveWithCells="1" sizeWithCells="1">
                  <from>
                    <xdr:col>8</xdr:col>
                    <xdr:colOff>304800</xdr:colOff>
                    <xdr:row>22</xdr:row>
                    <xdr:rowOff>0</xdr:rowOff>
                  </from>
                  <to>
                    <xdr:col>8</xdr:col>
                    <xdr:colOff>304800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700-000000000000}">
          <x14:formula1>
            <xm:f>Startseite!$D$16</xm:f>
          </x14:formula1>
          <x14:formula2>
            <xm:f>EOMONTH(Startseite!$D$16,11)</xm:f>
          </x14:formula2>
          <xm:sqref>F15:G38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211">
    <tabColor theme="4" tint="0.79998168889431442"/>
    <pageSetUpPr fitToPage="1"/>
  </sheetPr>
  <dimension ref="A1:AP599"/>
  <sheetViews>
    <sheetView showGridLines="0" zoomScale="90" zoomScaleNormal="90" workbookViewId="0">
      <selection activeCell="B15" sqref="B15"/>
    </sheetView>
  </sheetViews>
  <sheetFormatPr baseColWidth="10" defaultColWidth="11.44140625" defaultRowHeight="13.2" outlineLevelRow="1" outlineLevelCol="1"/>
  <cols>
    <col min="1" max="1" width="4.6640625" style="14" customWidth="1"/>
    <col min="2" max="2" width="35.33203125" style="14" customWidth="1"/>
    <col min="3" max="3" width="7.44140625" style="18" customWidth="1"/>
    <col min="4" max="4" width="8.5546875" style="14" customWidth="1"/>
    <col min="5" max="5" width="9.6640625" style="14" customWidth="1"/>
    <col min="6" max="6" width="10.109375" style="14" customWidth="1"/>
    <col min="7" max="7" width="8.44140625" style="14" customWidth="1"/>
    <col min="8" max="8" width="11.6640625" style="14" customWidth="1"/>
    <col min="9" max="9" width="16" style="14" customWidth="1"/>
    <col min="10" max="10" width="13.88671875" style="14" customWidth="1"/>
    <col min="11" max="11" width="14.6640625" style="14" customWidth="1"/>
    <col min="12" max="12" width="12.44140625" style="14" customWidth="1"/>
    <col min="13" max="13" width="14.88671875" style="14" customWidth="1"/>
    <col min="14" max="16" width="12" style="14" hidden="1" customWidth="1" outlineLevel="1"/>
    <col min="17" max="17" width="33.109375" style="19" customWidth="1" collapsed="1"/>
    <col min="18" max="18" width="15.88671875" style="19" customWidth="1"/>
    <col min="19" max="40" width="11.44140625" style="19"/>
    <col min="41" max="16384" width="11.44140625" style="14"/>
  </cols>
  <sheetData>
    <row r="1" spans="1:42">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row>
    <row r="2" spans="1:42">
      <c r="I2" s="1146" t="s">
        <v>503</v>
      </c>
      <c r="J2" s="1147"/>
      <c r="L2" s="1144" t="s">
        <v>502</v>
      </c>
      <c r="M2" s="1145"/>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row>
    <row r="3" spans="1:42">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row>
    <row r="4" spans="1:42" ht="27.75" customHeight="1">
      <c r="A4" s="116" t="str">
        <f xml:space="preserve"> CONCATENATE( "Personalkosten 2. Jahr des Unternehmens:  ", Startseite!C14)</f>
        <v xml:space="preserve">Personalkosten 2. Jahr des Unternehmens:  </v>
      </c>
      <c r="B4" s="256"/>
      <c r="C4" s="257"/>
      <c r="D4" s="256"/>
      <c r="E4" s="256"/>
      <c r="F4" s="256"/>
      <c r="G4" s="256"/>
      <c r="H4" s="256"/>
      <c r="I4" s="258" t="str">
        <f>IF(Startseite!D16=0,"","        Planungszeitraum:")</f>
        <v xml:space="preserve">        Planungszeitraum:</v>
      </c>
      <c r="J4" s="258"/>
      <c r="K4" s="259">
        <f>IF(Startseite!D16="","",'Personalkosten 1. Jahr'!O4+30)</f>
        <v>45977</v>
      </c>
      <c r="L4" s="344" t="s">
        <v>196</v>
      </c>
      <c r="M4" s="259">
        <f>IF(K4="","",K4+330)</f>
        <v>46307</v>
      </c>
      <c r="N4" s="256"/>
      <c r="O4" s="256"/>
      <c r="P4" s="256"/>
      <c r="Q4" s="261"/>
      <c r="R4" s="261"/>
      <c r="S4" s="261"/>
      <c r="T4" s="261"/>
      <c r="U4" s="261"/>
      <c r="V4" s="261"/>
      <c r="W4" s="261"/>
      <c r="X4" s="261"/>
      <c r="Y4" s="261"/>
      <c r="Z4" s="261"/>
      <c r="AA4" s="266"/>
      <c r="AB4" s="266"/>
      <c r="AC4" s="266"/>
      <c r="AD4" s="266"/>
      <c r="AE4" s="44"/>
      <c r="AF4" s="44"/>
      <c r="AG4" s="44"/>
      <c r="AH4" s="44"/>
      <c r="AI4" s="44"/>
      <c r="AJ4" s="44"/>
      <c r="AK4" s="44"/>
      <c r="AL4" s="44"/>
      <c r="AM4" s="44"/>
      <c r="AN4" s="44"/>
    </row>
    <row r="5" spans="1:42" ht="24.6">
      <c r="A5" s="263"/>
      <c r="B5" s="256"/>
      <c r="C5" s="257"/>
      <c r="D5" s="256"/>
      <c r="E5" s="256"/>
      <c r="F5" s="258"/>
      <c r="G5" s="258"/>
      <c r="H5" s="258"/>
      <c r="I5" s="256"/>
      <c r="J5" s="264"/>
      <c r="K5" s="260"/>
      <c r="L5" s="265"/>
      <c r="M5" s="256"/>
      <c r="N5" s="256"/>
      <c r="O5" s="256"/>
      <c r="P5" s="256"/>
      <c r="Q5" s="14"/>
      <c r="R5" s="261"/>
      <c r="S5" s="261"/>
      <c r="T5" s="261"/>
      <c r="U5" s="261"/>
      <c r="V5" s="261"/>
      <c r="W5" s="261"/>
      <c r="X5" s="261"/>
      <c r="Y5" s="261"/>
      <c r="Z5" s="261"/>
      <c r="AA5" s="266"/>
      <c r="AB5" s="266"/>
      <c r="AC5" s="266"/>
      <c r="AD5" s="266"/>
      <c r="AE5" s="44"/>
      <c r="AF5" s="44"/>
      <c r="AG5" s="44"/>
      <c r="AH5" s="44"/>
      <c r="AI5" s="44"/>
      <c r="AJ5" s="44"/>
      <c r="AK5" s="44"/>
      <c r="AL5" s="44"/>
      <c r="AM5" s="44"/>
      <c r="AN5" s="44"/>
    </row>
    <row r="6" spans="1:42" ht="20.100000000000001" customHeight="1">
      <c r="A6" s="256"/>
      <c r="B6" s="256"/>
      <c r="C6" s="257"/>
      <c r="D6" s="256"/>
      <c r="E6" s="256"/>
      <c r="F6" s="256"/>
      <c r="G6" s="268" t="s">
        <v>10</v>
      </c>
      <c r="H6" s="256"/>
      <c r="I6" s="256"/>
      <c r="J6" s="865">
        <f>'Personalkosten 1. Jahr'!L6</f>
        <v>1.2513999999999996</v>
      </c>
      <c r="K6" s="256"/>
      <c r="L6" s="256"/>
      <c r="M6" s="256"/>
      <c r="N6" s="256"/>
      <c r="O6" s="256"/>
      <c r="P6" s="256"/>
      <c r="Q6" s="262"/>
      <c r="R6" s="261"/>
      <c r="S6" s="261"/>
      <c r="T6" s="261"/>
      <c r="U6" s="261"/>
      <c r="V6" s="261"/>
      <c r="W6" s="261"/>
      <c r="X6" s="261"/>
      <c r="Y6" s="261"/>
      <c r="Z6" s="261"/>
      <c r="AA6" s="266"/>
      <c r="AB6" s="266"/>
      <c r="AC6" s="266"/>
      <c r="AD6" s="266"/>
      <c r="AE6" s="44"/>
      <c r="AF6" s="44"/>
      <c r="AG6" s="44"/>
      <c r="AH6" s="44"/>
      <c r="AI6" s="44"/>
      <c r="AJ6" s="44"/>
      <c r="AK6" s="44"/>
      <c r="AL6" s="44"/>
      <c r="AM6" s="44"/>
      <c r="AN6" s="44"/>
    </row>
    <row r="7" spans="1:42" ht="20.100000000000001" customHeight="1">
      <c r="A7" s="256"/>
      <c r="B7" s="256"/>
      <c r="C7" s="257"/>
      <c r="D7" s="256"/>
      <c r="E7" s="256"/>
      <c r="F7" s="256"/>
      <c r="G7" s="268" t="s">
        <v>316</v>
      </c>
      <c r="H7" s="269"/>
      <c r="I7" s="256"/>
      <c r="J7" s="270">
        <f>'Personalkosten 1. Jahr'!L7</f>
        <v>1.3179999999999996</v>
      </c>
      <c r="K7" s="256"/>
      <c r="L7" s="256"/>
      <c r="M7" s="256"/>
      <c r="N7" s="256"/>
      <c r="O7" s="256"/>
      <c r="P7" s="256"/>
      <c r="Q7" s="14"/>
      <c r="R7" s="261"/>
      <c r="S7" s="261"/>
      <c r="T7" s="261"/>
      <c r="U7" s="261"/>
      <c r="V7" s="261"/>
      <c r="W7" s="261"/>
      <c r="X7" s="261"/>
      <c r="Y7" s="261"/>
      <c r="Z7" s="261"/>
      <c r="AA7" s="266"/>
      <c r="AB7" s="266"/>
      <c r="AC7" s="266"/>
      <c r="AD7" s="266"/>
      <c r="AE7" s="44"/>
      <c r="AF7" s="44"/>
      <c r="AG7" s="44"/>
      <c r="AH7" s="44"/>
      <c r="AI7" s="44"/>
      <c r="AJ7" s="44"/>
      <c r="AK7" s="44"/>
      <c r="AL7" s="44"/>
      <c r="AM7" s="44"/>
      <c r="AN7" s="44"/>
    </row>
    <row r="8" spans="1:42">
      <c r="A8" s="256"/>
      <c r="B8" s="256"/>
      <c r="C8" s="257"/>
      <c r="D8" s="256"/>
      <c r="E8" s="256"/>
      <c r="F8" s="256"/>
      <c r="G8" s="256"/>
      <c r="H8" s="256"/>
      <c r="I8" s="256"/>
      <c r="J8" s="256"/>
      <c r="K8" s="256"/>
      <c r="L8" s="256"/>
      <c r="M8" s="256"/>
      <c r="N8" s="256"/>
      <c r="O8" s="256"/>
      <c r="P8" s="256"/>
      <c r="Q8" s="261"/>
      <c r="R8" s="261"/>
      <c r="S8" s="261"/>
      <c r="T8" s="261"/>
      <c r="U8" s="261"/>
      <c r="V8" s="261"/>
      <c r="W8" s="261"/>
      <c r="X8" s="261"/>
      <c r="Y8" s="261"/>
      <c r="Z8" s="261"/>
      <c r="AA8" s="266"/>
      <c r="AB8" s="266"/>
      <c r="AC8" s="266"/>
      <c r="AD8" s="266"/>
      <c r="AE8" s="44"/>
      <c r="AF8" s="44"/>
      <c r="AG8" s="44"/>
      <c r="AH8" s="44"/>
      <c r="AI8" s="44"/>
      <c r="AJ8" s="44"/>
      <c r="AK8" s="44"/>
      <c r="AL8" s="44"/>
      <c r="AM8" s="44"/>
      <c r="AN8" s="44"/>
    </row>
    <row r="9" spans="1:42" ht="23.25" customHeight="1">
      <c r="A9" s="272"/>
      <c r="B9" s="272"/>
      <c r="C9" s="345"/>
      <c r="D9" s="274"/>
      <c r="E9" s="275"/>
      <c r="F9" s="1136" t="s">
        <v>52</v>
      </c>
      <c r="G9" s="1137"/>
      <c r="H9" s="1138"/>
      <c r="I9" s="256"/>
      <c r="J9" s="256"/>
      <c r="K9" s="256"/>
      <c r="L9" s="256"/>
      <c r="M9" s="256"/>
      <c r="N9" s="1141" t="s">
        <v>197</v>
      </c>
      <c r="O9" s="1142"/>
      <c r="P9" s="1143"/>
      <c r="Q9" s="261"/>
      <c r="R9" s="261"/>
      <c r="S9" s="261"/>
      <c r="T9" s="261"/>
      <c r="U9" s="261"/>
      <c r="V9" s="261"/>
      <c r="W9" s="261"/>
      <c r="X9" s="261"/>
      <c r="Y9" s="261"/>
      <c r="Z9" s="976"/>
      <c r="AA9" s="977"/>
      <c r="AB9" s="977"/>
      <c r="AC9" s="977"/>
      <c r="AD9" s="977"/>
      <c r="AE9" s="978"/>
      <c r="AF9" s="44"/>
      <c r="AG9" s="44"/>
      <c r="AH9" s="44"/>
      <c r="AI9" s="44"/>
      <c r="AJ9" s="44"/>
      <c r="AK9" s="44"/>
      <c r="AL9" s="44"/>
      <c r="AM9" s="44"/>
      <c r="AN9" s="44"/>
    </row>
    <row r="10" spans="1:42">
      <c r="A10" s="276" t="s">
        <v>14</v>
      </c>
      <c r="B10" s="277"/>
      <c r="C10" s="278" t="s">
        <v>177</v>
      </c>
      <c r="D10" s="1139" t="s">
        <v>13</v>
      </c>
      <c r="E10" s="1140"/>
      <c r="F10" s="279" t="s">
        <v>50</v>
      </c>
      <c r="G10" s="279" t="s">
        <v>127</v>
      </c>
      <c r="H10" s="280" t="s">
        <v>49</v>
      </c>
      <c r="I10" s="281" t="s">
        <v>198</v>
      </c>
      <c r="J10" s="281" t="s">
        <v>199</v>
      </c>
      <c r="K10" s="281" t="s">
        <v>11</v>
      </c>
      <c r="L10" s="281" t="s">
        <v>12</v>
      </c>
      <c r="M10" s="281" t="s">
        <v>2</v>
      </c>
      <c r="N10" s="279" t="s">
        <v>177</v>
      </c>
      <c r="O10" s="279" t="s">
        <v>178</v>
      </c>
      <c r="P10" s="279" t="s">
        <v>180</v>
      </c>
      <c r="Q10" s="261"/>
      <c r="R10" s="261"/>
      <c r="S10" s="261"/>
      <c r="T10" s="261"/>
      <c r="U10" s="261"/>
      <c r="V10" s="261"/>
      <c r="W10" s="261"/>
      <c r="X10" s="261"/>
      <c r="Y10" s="261"/>
      <c r="Z10" s="976"/>
      <c r="AA10" s="977"/>
      <c r="AB10" s="977"/>
      <c r="AC10" s="977"/>
      <c r="AD10" s="977"/>
      <c r="AE10" s="978"/>
      <c r="AF10" s="44"/>
      <c r="AG10" s="44"/>
      <c r="AH10" s="44"/>
      <c r="AI10" s="44"/>
      <c r="AJ10" s="44"/>
      <c r="AK10" s="44"/>
      <c r="AL10" s="44"/>
      <c r="AM10" s="44"/>
      <c r="AN10" s="44"/>
    </row>
    <row r="11" spans="1:42">
      <c r="A11" s="282"/>
      <c r="B11" s="282"/>
      <c r="C11" s="283"/>
      <c r="D11" s="995" t="s">
        <v>546</v>
      </c>
      <c r="E11" s="284"/>
      <c r="F11" s="285" t="s">
        <v>35</v>
      </c>
      <c r="G11" s="286" t="s">
        <v>128</v>
      </c>
      <c r="H11" s="287" t="s">
        <v>28</v>
      </c>
      <c r="I11" s="288" t="s">
        <v>28</v>
      </c>
      <c r="J11" s="288" t="s">
        <v>28</v>
      </c>
      <c r="K11" s="288" t="s">
        <v>200</v>
      </c>
      <c r="L11" s="288" t="s">
        <v>15</v>
      </c>
      <c r="M11" s="288" t="s">
        <v>36</v>
      </c>
      <c r="N11" s="285" t="s">
        <v>201</v>
      </c>
      <c r="O11" s="285" t="s">
        <v>179</v>
      </c>
      <c r="P11" s="285" t="s">
        <v>181</v>
      </c>
      <c r="Q11" s="261"/>
      <c r="R11" s="261"/>
      <c r="S11" s="261"/>
      <c r="T11" s="261"/>
      <c r="U11" s="261"/>
      <c r="V11" s="261"/>
      <c r="W11" s="261"/>
      <c r="X11" s="261"/>
      <c r="Y11" s="261"/>
      <c r="Z11" s="976"/>
      <c r="AA11" s="977"/>
      <c r="AB11" s="977"/>
      <c r="AC11" s="977"/>
      <c r="AD11" s="977"/>
      <c r="AE11" s="978"/>
      <c r="AF11" s="44"/>
      <c r="AG11" s="44"/>
      <c r="AH11" s="44"/>
      <c r="AI11" s="44"/>
      <c r="AJ11" s="44"/>
      <c r="AK11" s="44"/>
      <c r="AL11" s="44"/>
      <c r="AM11" s="44"/>
      <c r="AN11" s="44"/>
    </row>
    <row r="12" spans="1:42" ht="12.75" customHeight="1">
      <c r="A12" s="282"/>
      <c r="B12" s="289" t="s">
        <v>366</v>
      </c>
      <c r="C12" s="283"/>
      <c r="D12" s="288" t="s">
        <v>202</v>
      </c>
      <c r="E12" s="288" t="s">
        <v>203</v>
      </c>
      <c r="F12" s="290" t="s">
        <v>101</v>
      </c>
      <c r="G12" s="286" t="s">
        <v>129</v>
      </c>
      <c r="H12" s="287" t="s">
        <v>101</v>
      </c>
      <c r="I12" s="288" t="s">
        <v>204</v>
      </c>
      <c r="J12" s="288" t="s">
        <v>188</v>
      </c>
      <c r="K12" s="288" t="s">
        <v>71</v>
      </c>
      <c r="L12" s="288" t="s">
        <v>101</v>
      </c>
      <c r="M12" s="288" t="s">
        <v>101</v>
      </c>
      <c r="N12" s="285" t="s">
        <v>205</v>
      </c>
      <c r="O12" s="285" t="s">
        <v>71</v>
      </c>
      <c r="P12" s="285"/>
      <c r="Q12" s="261"/>
      <c r="R12" s="261"/>
      <c r="S12" s="261"/>
      <c r="T12" s="261"/>
      <c r="U12" s="261"/>
      <c r="V12" s="261"/>
      <c r="W12" s="261"/>
      <c r="X12" s="261"/>
      <c r="Y12" s="261"/>
      <c r="Z12" s="976"/>
      <c r="AA12" s="977"/>
      <c r="AB12" s="977"/>
      <c r="AC12" s="977"/>
      <c r="AD12" s="977"/>
      <c r="AE12" s="978"/>
      <c r="AF12" s="44"/>
      <c r="AG12" s="44"/>
      <c r="AH12" s="44"/>
      <c r="AI12" s="44"/>
      <c r="AJ12" s="44"/>
      <c r="AK12" s="44"/>
      <c r="AL12" s="44"/>
      <c r="AM12" s="44"/>
      <c r="AN12" s="44"/>
    </row>
    <row r="13" spans="1:42" ht="12.75" customHeight="1">
      <c r="A13" s="282"/>
      <c r="B13" s="282"/>
      <c r="C13" s="283"/>
      <c r="D13" s="288" t="s">
        <v>206</v>
      </c>
      <c r="E13" s="291" t="s">
        <v>206</v>
      </c>
      <c r="F13" s="290"/>
      <c r="G13" s="286"/>
      <c r="H13" s="287"/>
      <c r="I13" s="288" t="s">
        <v>101</v>
      </c>
      <c r="J13" s="288" t="s">
        <v>101</v>
      </c>
      <c r="K13" s="288"/>
      <c r="L13" s="288"/>
      <c r="M13" s="288"/>
      <c r="N13" s="285"/>
      <c r="O13" s="285"/>
      <c r="P13" s="285"/>
      <c r="Q13" s="261"/>
      <c r="R13" s="261"/>
      <c r="S13" s="261"/>
      <c r="T13" s="261"/>
      <c r="U13" s="261"/>
      <c r="V13" s="261"/>
      <c r="W13" s="261"/>
      <c r="X13" s="261"/>
      <c r="Y13" s="261"/>
      <c r="Z13" s="976"/>
      <c r="AA13" s="977"/>
      <c r="AB13" s="977"/>
      <c r="AC13" s="977"/>
      <c r="AD13" s="977"/>
      <c r="AE13" s="978"/>
      <c r="AF13" s="44"/>
      <c r="AG13" s="44"/>
      <c r="AH13" s="44"/>
      <c r="AI13" s="44"/>
      <c r="AJ13" s="44"/>
      <c r="AK13" s="44"/>
      <c r="AL13" s="44"/>
      <c r="AM13" s="44"/>
      <c r="AN13" s="44"/>
    </row>
    <row r="14" spans="1:42" ht="12.75" customHeight="1">
      <c r="A14" s="292"/>
      <c r="B14" s="292"/>
      <c r="C14" s="293"/>
      <c r="D14" s="294"/>
      <c r="E14" s="295"/>
      <c r="F14" s="296"/>
      <c r="G14" s="296"/>
      <c r="H14" s="297"/>
      <c r="I14" s="294"/>
      <c r="J14" s="294"/>
      <c r="K14" s="294"/>
      <c r="L14" s="294"/>
      <c r="M14" s="294"/>
      <c r="N14" s="298"/>
      <c r="O14" s="298"/>
      <c r="P14" s="298"/>
      <c r="Q14" s="261"/>
      <c r="R14" s="261"/>
      <c r="S14" s="261"/>
      <c r="T14" s="984"/>
      <c r="U14" s="984"/>
      <c r="V14" s="984"/>
      <c r="W14" s="984"/>
      <c r="X14" s="984"/>
      <c r="Y14" s="984"/>
      <c r="Z14" s="984"/>
      <c r="AA14" s="950"/>
      <c r="AB14" s="950"/>
      <c r="AC14" s="950"/>
      <c r="AD14" s="950"/>
      <c r="AE14" s="978"/>
      <c r="AF14" s="44"/>
      <c r="AG14" s="44"/>
      <c r="AH14" s="44"/>
      <c r="AI14" s="44"/>
      <c r="AJ14" s="44"/>
      <c r="AK14" s="44"/>
      <c r="AL14" s="44"/>
      <c r="AM14" s="44"/>
      <c r="AN14" s="44"/>
    </row>
    <row r="15" spans="1:42" ht="20.100000000000001" customHeight="1">
      <c r="A15" s="282">
        <v>1</v>
      </c>
      <c r="B15" s="859"/>
      <c r="C15" s="860"/>
      <c r="D15" s="991"/>
      <c r="E15" s="991"/>
      <c r="F15" s="800"/>
      <c r="G15" s="803"/>
      <c r="H15" s="802"/>
      <c r="I15" s="299">
        <f>IF(C15=0,0,IF(C15&gt;=1,IF(AND(OR(F15&gt;=1,G15&gt;=1), H15&gt;1),"Lohn/Gehalt ???",C15*IF(F15="",H15,F15*G15*4.33))))</f>
        <v>0</v>
      </c>
      <c r="J15" s="300">
        <f t="shared" ref="J15:J22" si="0">IF(C15=0,0,(IF(I15/C15&lt;539,I15*J$7,I15*J$6)))</f>
        <v>0</v>
      </c>
      <c r="K15" s="862"/>
      <c r="L15" s="804"/>
      <c r="M15" s="301">
        <f>IF(AND(Hilfstabelle!Q36="",Hilfstabelle!R36=""),J15*12+K15*J15+L15*IF(I15&lt;451,J$7,J$6),IF(OR(Hilfstabelle!Q36="",Hilfstabelle!R36="",Hilfstabelle!Q36=0,Hilfstabelle!R36=0,Hilfstabelle!Q36&gt;Hilfstabelle!R36),0,J15*(Hilfstabelle!R36-Hilfstabelle!Q36+1)+J15*K15+L15*IF(I15&lt;451,J$7,J$6)))</f>
        <v>0</v>
      </c>
      <c r="N15" s="302">
        <f>$C15*(IF(Hilfstabelle!$Q36="",1,IF(Hilfstabelle!$Q36="bis",Hilfstabelle!$R36/12,IF(Hilfstabelle!$Q36="ab",(12-Hilfstabelle!$R36+1)/12,((Hilfstabelle!R36+1)-Hilfstabelle!Q36)/12))))</f>
        <v>0</v>
      </c>
      <c r="O15" s="864"/>
      <c r="P15" s="303">
        <f t="shared" ref="P15:P36" si="1">N15*O15</f>
        <v>0</v>
      </c>
      <c r="Q15" s="262" t="str">
        <f>IF(AA15="ja","Bitte wählen Sie in den Spalten F - H zwischen Bruttolohn pro Stunde und Bruttogehalt pro Monat","")</f>
        <v/>
      </c>
      <c r="R15" s="262"/>
      <c r="S15" s="261"/>
      <c r="T15" s="984"/>
      <c r="U15" s="984"/>
      <c r="V15" s="984"/>
      <c r="W15" s="984"/>
      <c r="X15" s="984" t="str">
        <f t="shared" ref="X15:X38" si="2">IF(ISERROR(M15),"",IF(AND($C15&gt;0,$J15&gt;0,$J15&lt;=$C15*$J$7*450,$M15&gt;$C15*7085),"Überprüfe ggf. Minijob(s)",""))</f>
        <v/>
      </c>
      <c r="Y15" s="984"/>
      <c r="Z15" s="780" t="str">
        <f>IF(AND(Hilfstabelle!$Q36="",Hilfstabelle!$R36=""),"",IF(OR(Hilfstabelle!$Q36="",Hilfstabelle!$R36="",Hilfstabelle!$Q36=0,Hilfstabelle!$R36=0,Hilfstabelle!$Q36&gt;Hilfstabelle!$R36),"ja",""))</f>
        <v/>
      </c>
      <c r="AA15" s="780" t="str">
        <f t="shared" ref="AA15:AA38" si="3">IF(OR(AND(F15&gt;0,G15&gt;0,H15&gt;0),AND(F15&gt;0,H15&gt;0),AND(G15&gt;0,H15&gt;0)),"ja","")</f>
        <v/>
      </c>
      <c r="AB15" s="950"/>
      <c r="AC15" s="950"/>
      <c r="AD15" s="950"/>
      <c r="AE15" s="978"/>
      <c r="AF15" s="44"/>
      <c r="AG15" s="44"/>
      <c r="AH15" s="44"/>
      <c r="AI15" s="44"/>
      <c r="AJ15" s="44"/>
      <c r="AK15" s="44"/>
      <c r="AL15" s="44"/>
      <c r="AM15" s="44"/>
      <c r="AN15" s="44"/>
    </row>
    <row r="16" spans="1:42" ht="20.100000000000001" customHeight="1">
      <c r="A16" s="282">
        <v>2</v>
      </c>
      <c r="B16" s="859"/>
      <c r="C16" s="860"/>
      <c r="D16" s="991"/>
      <c r="E16" s="991"/>
      <c r="F16" s="800"/>
      <c r="G16" s="803"/>
      <c r="H16" s="802"/>
      <c r="I16" s="306">
        <f>IF(C16=0,0,IF(C16&gt;=1,C16*IF(F16="",H16,F16*G16*4.33)))</f>
        <v>0</v>
      </c>
      <c r="J16" s="300">
        <f t="shared" si="0"/>
        <v>0</v>
      </c>
      <c r="K16" s="862"/>
      <c r="L16" s="804"/>
      <c r="M16" s="301">
        <f>IF(AND(Hilfstabelle!Q37="",Hilfstabelle!R37=""),J16*12+K16*J16+L16*IF(I16&lt;451,J$7,J$6),IF(OR(Hilfstabelle!Q37="",Hilfstabelle!R37="",Hilfstabelle!Q37=0,Hilfstabelle!R37=0,Hilfstabelle!Q37&gt;Hilfstabelle!R37),0,J16*(Hilfstabelle!R37-Hilfstabelle!Q37+1)+J16*K16+L16*IF(I16&lt;451,J$7,J$6)))</f>
        <v>0</v>
      </c>
      <c r="N16" s="302">
        <f>$C16*(IF(Hilfstabelle!$Q37="",1,IF(Hilfstabelle!$Q37="bis",Hilfstabelle!$R37/12,IF(Hilfstabelle!$Q37="ab",(12-Hilfstabelle!$R37+1)/12,((Hilfstabelle!R37+1)-Hilfstabelle!Q37)/12))))</f>
        <v>0</v>
      </c>
      <c r="O16" s="864"/>
      <c r="P16" s="303">
        <f t="shared" si="1"/>
        <v>0</v>
      </c>
      <c r="Q16" s="262" t="str">
        <f t="shared" ref="Q16:Q38" si="4">IF(AA16="ja","Bitte wählen Sie in den Spalten F - H zwischen Bruttolohn pro Stunde und Bruttogehalt pro Monat","")</f>
        <v/>
      </c>
      <c r="R16" s="262"/>
      <c r="S16" s="261"/>
      <c r="T16" s="984"/>
      <c r="U16" s="984"/>
      <c r="V16" s="984"/>
      <c r="W16" s="984"/>
      <c r="X16" s="984" t="str">
        <f t="shared" si="2"/>
        <v/>
      </c>
      <c r="Y16" s="984"/>
      <c r="Z16" s="780" t="str">
        <f>IF(AND(Hilfstabelle!$Q37="",Hilfstabelle!$R37=""),"",IF(OR(Hilfstabelle!$Q37="",Hilfstabelle!$R37="",Hilfstabelle!$Q37=0,Hilfstabelle!$R37=0,Hilfstabelle!$Q37&gt;Hilfstabelle!$R37),"ja",""))</f>
        <v/>
      </c>
      <c r="AA16" s="780" t="str">
        <f t="shared" si="3"/>
        <v/>
      </c>
      <c r="AB16" s="950"/>
      <c r="AC16" s="950"/>
      <c r="AD16" s="950"/>
      <c r="AE16" s="978"/>
      <c r="AF16" s="44"/>
      <c r="AG16" s="44"/>
      <c r="AH16" s="44"/>
      <c r="AI16" s="44"/>
      <c r="AJ16" s="44"/>
      <c r="AK16" s="44"/>
      <c r="AL16" s="44"/>
      <c r="AM16" s="44"/>
      <c r="AN16" s="44"/>
    </row>
    <row r="17" spans="1:40" ht="20.100000000000001" customHeight="1">
      <c r="A17" s="282">
        <v>3</v>
      </c>
      <c r="B17" s="859"/>
      <c r="C17" s="860"/>
      <c r="D17" s="991"/>
      <c r="E17" s="991"/>
      <c r="F17" s="803"/>
      <c r="G17" s="802"/>
      <c r="H17" s="802"/>
      <c r="I17" s="306">
        <f>IF(C17=0,0,IF(C17&gt;=1,C17*IF(F17="",H17,F17*G17*4.33)))</f>
        <v>0</v>
      </c>
      <c r="J17" s="300">
        <f t="shared" si="0"/>
        <v>0</v>
      </c>
      <c r="K17" s="862"/>
      <c r="L17" s="804"/>
      <c r="M17" s="301">
        <f>IF(AND(Hilfstabelle!Q38="",Hilfstabelle!R38=""),J17*12+K17*J17+L17*IF(I17&lt;451,J$7,J$6),IF(OR(Hilfstabelle!Q38="",Hilfstabelle!R38="",Hilfstabelle!Q38=0,Hilfstabelle!R38=0,Hilfstabelle!Q38&gt;Hilfstabelle!R38),0,J17*(Hilfstabelle!R38-Hilfstabelle!Q38+1)+J17*K17+L17*IF(I17&lt;451,J$7,J$6)))</f>
        <v>0</v>
      </c>
      <c r="N17" s="302">
        <f>$C17*(IF(Hilfstabelle!$Q38="",1,IF(Hilfstabelle!$Q38="bis",Hilfstabelle!$R38/12,IF(Hilfstabelle!$Q38="ab",(12-Hilfstabelle!$R38+1)/12,((Hilfstabelle!R38+1)-Hilfstabelle!Q38)/12))))</f>
        <v>0</v>
      </c>
      <c r="O17" s="864"/>
      <c r="P17" s="303">
        <f t="shared" si="1"/>
        <v>0</v>
      </c>
      <c r="Q17" s="262" t="str">
        <f t="shared" si="4"/>
        <v/>
      </c>
      <c r="R17" s="262"/>
      <c r="S17" s="261"/>
      <c r="T17" s="984"/>
      <c r="U17" s="984"/>
      <c r="V17" s="984"/>
      <c r="W17" s="984"/>
      <c r="X17" s="984" t="str">
        <f t="shared" si="2"/>
        <v/>
      </c>
      <c r="Y17" s="984"/>
      <c r="Z17" s="780" t="str">
        <f>IF(AND(Hilfstabelle!$Q38="",Hilfstabelle!$R38=""),"",IF(OR(Hilfstabelle!$Q38="",Hilfstabelle!$R38="",Hilfstabelle!$Q38=0,Hilfstabelle!$R38=0,Hilfstabelle!$Q38&gt;Hilfstabelle!$R38),"ja",""))</f>
        <v/>
      </c>
      <c r="AA17" s="780" t="str">
        <f t="shared" si="3"/>
        <v/>
      </c>
      <c r="AB17" s="950"/>
      <c r="AC17" s="950"/>
      <c r="AD17" s="950"/>
      <c r="AE17" s="978"/>
      <c r="AF17" s="44"/>
      <c r="AG17" s="44"/>
      <c r="AH17" s="44"/>
      <c r="AI17" s="44"/>
      <c r="AJ17" s="44"/>
      <c r="AK17" s="44"/>
      <c r="AL17" s="44"/>
      <c r="AM17" s="44"/>
      <c r="AN17" s="44"/>
    </row>
    <row r="18" spans="1:40" ht="20.100000000000001" customHeight="1">
      <c r="A18" s="282">
        <v>4</v>
      </c>
      <c r="B18" s="861"/>
      <c r="C18" s="860"/>
      <c r="D18" s="991"/>
      <c r="E18" s="991"/>
      <c r="F18" s="803"/>
      <c r="G18" s="802"/>
      <c r="H18" s="802"/>
      <c r="I18" s="306">
        <f>IF(C18=0,0,IF(C18&gt;=1,C18*IF(F18="",H18,F18*G18*4.33)))</f>
        <v>0</v>
      </c>
      <c r="J18" s="300">
        <f t="shared" si="0"/>
        <v>0</v>
      </c>
      <c r="K18" s="862"/>
      <c r="L18" s="804"/>
      <c r="M18" s="301">
        <f>IF(AND(Hilfstabelle!Q39="",Hilfstabelle!R39=""),J18*12+K18*J18+L18*IF(I18&lt;451,J$7,J$6),IF(OR(Hilfstabelle!Q39="",Hilfstabelle!R39="",Hilfstabelle!Q39=0,Hilfstabelle!R39=0,Hilfstabelle!Q39&gt;Hilfstabelle!R39),0,J18*(Hilfstabelle!R39-Hilfstabelle!Q39+1)+J18*K18+L18*IF(I18&lt;451,J$7,J$6)))</f>
        <v>0</v>
      </c>
      <c r="N18" s="302">
        <f>$C18*(IF(Hilfstabelle!$Q39="",1,IF(Hilfstabelle!$Q39="bis",Hilfstabelle!$R39/12,IF(Hilfstabelle!$Q39="ab",(12-Hilfstabelle!$R39+1)/12,((Hilfstabelle!R39+1)-Hilfstabelle!Q39)/12))))</f>
        <v>0</v>
      </c>
      <c r="O18" s="864"/>
      <c r="P18" s="303">
        <f t="shared" si="1"/>
        <v>0</v>
      </c>
      <c r="Q18" s="262" t="str">
        <f t="shared" si="4"/>
        <v/>
      </c>
      <c r="R18" s="262"/>
      <c r="S18" s="261"/>
      <c r="T18" s="984"/>
      <c r="U18" s="984"/>
      <c r="V18" s="984"/>
      <c r="W18" s="984"/>
      <c r="X18" s="984" t="str">
        <f t="shared" si="2"/>
        <v/>
      </c>
      <c r="Y18" s="984"/>
      <c r="Z18" s="780" t="str">
        <f>IF(AND(Hilfstabelle!$Q39="",Hilfstabelle!$R39=""),"",IF(OR(Hilfstabelle!$Q39="",Hilfstabelle!$R39="",Hilfstabelle!$Q39=0,Hilfstabelle!$R39=0,Hilfstabelle!$Q39&gt;Hilfstabelle!$R39),"ja",""))</f>
        <v/>
      </c>
      <c r="AA18" s="780" t="str">
        <f t="shared" si="3"/>
        <v/>
      </c>
      <c r="AB18" s="950"/>
      <c r="AC18" s="950"/>
      <c r="AD18" s="950"/>
      <c r="AE18" s="978"/>
      <c r="AF18" s="44"/>
      <c r="AG18" s="44"/>
      <c r="AH18" s="44"/>
      <c r="AI18" s="44"/>
      <c r="AJ18" s="44"/>
      <c r="AK18" s="44"/>
      <c r="AL18" s="44"/>
      <c r="AM18" s="44"/>
      <c r="AN18" s="44"/>
    </row>
    <row r="19" spans="1:40" ht="20.100000000000001" customHeight="1">
      <c r="A19" s="282">
        <v>5</v>
      </c>
      <c r="B19" s="861"/>
      <c r="C19" s="860"/>
      <c r="D19" s="991"/>
      <c r="E19" s="991"/>
      <c r="F19" s="803"/>
      <c r="G19" s="802"/>
      <c r="H19" s="802"/>
      <c r="I19" s="306">
        <f>IF(C19=0,0,IF(C19&gt;=1,C19*IF(F19="",H19,F19*G19*4.33)))</f>
        <v>0</v>
      </c>
      <c r="J19" s="300">
        <f t="shared" si="0"/>
        <v>0</v>
      </c>
      <c r="K19" s="862"/>
      <c r="L19" s="804"/>
      <c r="M19" s="301">
        <f>IF(AND(Hilfstabelle!Q40="",Hilfstabelle!R40=""),J19*12+K19*J19+L19*IF(I19&lt;451,J$7,J$6),IF(OR(Hilfstabelle!Q40="",Hilfstabelle!R40="",Hilfstabelle!Q40=0,Hilfstabelle!R40=0,Hilfstabelle!Q40&gt;Hilfstabelle!R40),0,J19*(Hilfstabelle!R40-Hilfstabelle!Q40+1)+J19*K19+L19*IF(I19&lt;451,J$7,J$6)))</f>
        <v>0</v>
      </c>
      <c r="N19" s="302">
        <f>$C19*(IF(Hilfstabelle!$Q40="",1,IF(Hilfstabelle!$Q40="bis",Hilfstabelle!$R40/12,IF(Hilfstabelle!$Q40="ab",(12-Hilfstabelle!$R40+1)/12,((Hilfstabelle!R40+1)-Hilfstabelle!Q40)/12))))</f>
        <v>0</v>
      </c>
      <c r="O19" s="864"/>
      <c r="P19" s="303">
        <f t="shared" si="1"/>
        <v>0</v>
      </c>
      <c r="Q19" s="262" t="str">
        <f t="shared" si="4"/>
        <v/>
      </c>
      <c r="R19" s="262"/>
      <c r="S19" s="261"/>
      <c r="T19" s="984"/>
      <c r="U19" s="984"/>
      <c r="V19" s="984"/>
      <c r="W19" s="984"/>
      <c r="X19" s="984" t="str">
        <f t="shared" si="2"/>
        <v/>
      </c>
      <c r="Y19" s="984"/>
      <c r="Z19" s="780" t="str">
        <f>IF(AND(Hilfstabelle!$Q40="",Hilfstabelle!$R40=""),"",IF(OR(Hilfstabelle!$Q40="",Hilfstabelle!$R40="",Hilfstabelle!$Q40=0,Hilfstabelle!$R40=0,Hilfstabelle!$Q40&gt;Hilfstabelle!$R40),"ja",""))</f>
        <v/>
      </c>
      <c r="AA19" s="780" t="str">
        <f t="shared" si="3"/>
        <v/>
      </c>
      <c r="AB19" s="950"/>
      <c r="AC19" s="950"/>
      <c r="AD19" s="950"/>
      <c r="AE19" s="978"/>
      <c r="AF19" s="44"/>
      <c r="AG19" s="44"/>
      <c r="AH19" s="44"/>
      <c r="AI19" s="44"/>
      <c r="AJ19" s="44"/>
      <c r="AK19" s="44"/>
      <c r="AL19" s="44"/>
      <c r="AM19" s="44"/>
      <c r="AN19" s="44"/>
    </row>
    <row r="20" spans="1:40" ht="20.100000000000001" customHeight="1">
      <c r="A20" s="282">
        <v>6</v>
      </c>
      <c r="B20" s="861"/>
      <c r="C20" s="860"/>
      <c r="D20" s="991"/>
      <c r="E20" s="991"/>
      <c r="F20" s="803"/>
      <c r="G20" s="802"/>
      <c r="H20" s="802"/>
      <c r="I20" s="306">
        <f>IF(C20=0,0,IF(C20&gt;=1,C20*IF(F20="",H20,F20*G20*4.33)))</f>
        <v>0</v>
      </c>
      <c r="J20" s="300">
        <f t="shared" si="0"/>
        <v>0</v>
      </c>
      <c r="K20" s="862"/>
      <c r="L20" s="804"/>
      <c r="M20" s="301">
        <f>IF(AND(Hilfstabelle!Q41="",Hilfstabelle!R41=""),J20*12+K20*J20+L20*IF(I20&lt;451,J$7,J$6),IF(OR(Hilfstabelle!Q41="",Hilfstabelle!R41="",Hilfstabelle!Q41=0,Hilfstabelle!R41=0,Hilfstabelle!Q41&gt;Hilfstabelle!R41),0,J20*(Hilfstabelle!R41-Hilfstabelle!Q41+1)+J20*K20+L20*IF(I20&lt;451,J$7,J$6)))</f>
        <v>0</v>
      </c>
      <c r="N20" s="302">
        <f>$C20*(IF(Hilfstabelle!$Q41="",1,IF(Hilfstabelle!$Q41="bis",Hilfstabelle!$R41/12,IF(Hilfstabelle!$Q41="ab",(12-Hilfstabelle!$R41+1)/12,((Hilfstabelle!R41+1)-Hilfstabelle!Q41)/12))))</f>
        <v>0</v>
      </c>
      <c r="O20" s="864"/>
      <c r="P20" s="303">
        <f t="shared" si="1"/>
        <v>0</v>
      </c>
      <c r="Q20" s="262" t="str">
        <f t="shared" si="4"/>
        <v/>
      </c>
      <c r="R20" s="262"/>
      <c r="S20" s="261"/>
      <c r="T20" s="984"/>
      <c r="U20" s="984"/>
      <c r="V20" s="984"/>
      <c r="W20" s="984"/>
      <c r="X20" s="984" t="str">
        <f t="shared" si="2"/>
        <v/>
      </c>
      <c r="Y20" s="984"/>
      <c r="Z20" s="780" t="str">
        <f>IF(AND(Hilfstabelle!$Q41="",Hilfstabelle!$R41=""),"",IF(OR(Hilfstabelle!$Q41="",Hilfstabelle!$R41="",Hilfstabelle!$Q41=0,Hilfstabelle!$R41=0,Hilfstabelle!$Q41&gt;Hilfstabelle!$R41),"ja",""))</f>
        <v/>
      </c>
      <c r="AA20" s="780" t="str">
        <f t="shared" si="3"/>
        <v/>
      </c>
      <c r="AB20" s="950"/>
      <c r="AC20" s="950"/>
      <c r="AD20" s="950"/>
      <c r="AE20" s="978"/>
      <c r="AF20" s="44"/>
      <c r="AG20" s="44"/>
      <c r="AH20" s="44"/>
      <c r="AI20" s="44"/>
      <c r="AJ20" s="44"/>
      <c r="AK20" s="44"/>
      <c r="AL20" s="44"/>
      <c r="AM20" s="44"/>
      <c r="AN20" s="44"/>
    </row>
    <row r="21" spans="1:40" ht="20.100000000000001" customHeight="1">
      <c r="A21" s="282">
        <v>7</v>
      </c>
      <c r="B21" s="861"/>
      <c r="C21" s="860"/>
      <c r="D21" s="991"/>
      <c r="E21" s="991"/>
      <c r="F21" s="803"/>
      <c r="G21" s="802"/>
      <c r="H21" s="802"/>
      <c r="I21" s="306">
        <f t="shared" ref="I21:I32" si="5">IF(C21=0,0,IF(C21&gt;=1,C21*IF(F21="",H21,F21*G21*4.33)))</f>
        <v>0</v>
      </c>
      <c r="J21" s="300">
        <f t="shared" si="0"/>
        <v>0</v>
      </c>
      <c r="K21" s="862"/>
      <c r="L21" s="804"/>
      <c r="M21" s="301">
        <f>IF(AND(Hilfstabelle!Q42="",Hilfstabelle!R42=""),J21*12+K21*J21+L21*IF(I21&lt;451,J$7,J$6),IF(OR(Hilfstabelle!Q42="",Hilfstabelle!R42="",Hilfstabelle!Q42=0,Hilfstabelle!R42=0,Hilfstabelle!Q42&gt;Hilfstabelle!R42),0,J21*(Hilfstabelle!R42-Hilfstabelle!Q42+1)+J21*K21+L21*IF(I21&lt;451,J$7,J$6)))</f>
        <v>0</v>
      </c>
      <c r="N21" s="302">
        <f>$C21*(IF(Hilfstabelle!$Q42="",1,IF(Hilfstabelle!$Q42="bis",Hilfstabelle!$R42/12,IF(Hilfstabelle!$Q42="ab",(12-Hilfstabelle!$R42+1)/12,((Hilfstabelle!R42+1)-Hilfstabelle!Q42)/12))))</f>
        <v>0</v>
      </c>
      <c r="O21" s="864"/>
      <c r="P21" s="303">
        <f t="shared" si="1"/>
        <v>0</v>
      </c>
      <c r="Q21" s="262" t="str">
        <f t="shared" si="4"/>
        <v/>
      </c>
      <c r="R21" s="262"/>
      <c r="S21" s="261"/>
      <c r="T21" s="984"/>
      <c r="U21" s="984"/>
      <c r="V21" s="984"/>
      <c r="W21" s="984"/>
      <c r="X21" s="984" t="str">
        <f t="shared" si="2"/>
        <v/>
      </c>
      <c r="Y21" s="984"/>
      <c r="Z21" s="780" t="str">
        <f>IF(AND(Hilfstabelle!$Q42="",Hilfstabelle!$R42=""),"",IF(OR(Hilfstabelle!$Q42="",Hilfstabelle!$R42="",Hilfstabelle!$Q42=0,Hilfstabelle!$R42=0,Hilfstabelle!$Q42&gt;Hilfstabelle!$R42),"ja",""))</f>
        <v/>
      </c>
      <c r="AA21" s="780" t="str">
        <f t="shared" si="3"/>
        <v/>
      </c>
      <c r="AB21" s="950"/>
      <c r="AC21" s="950"/>
      <c r="AD21" s="950"/>
      <c r="AE21" s="978"/>
      <c r="AF21" s="44"/>
      <c r="AG21" s="44"/>
      <c r="AH21" s="44"/>
      <c r="AI21" s="44"/>
      <c r="AJ21" s="44"/>
      <c r="AK21" s="44"/>
      <c r="AL21" s="44"/>
      <c r="AM21" s="44"/>
      <c r="AN21" s="44"/>
    </row>
    <row r="22" spans="1:40" ht="20.100000000000001" customHeight="1">
      <c r="A22" s="282">
        <v>8</v>
      </c>
      <c r="B22" s="861"/>
      <c r="C22" s="860"/>
      <c r="D22" s="991"/>
      <c r="E22" s="991"/>
      <c r="F22" s="803"/>
      <c r="G22" s="802"/>
      <c r="H22" s="802"/>
      <c r="I22" s="306">
        <f t="shared" si="5"/>
        <v>0</v>
      </c>
      <c r="J22" s="300">
        <f t="shared" si="0"/>
        <v>0</v>
      </c>
      <c r="K22" s="862"/>
      <c r="L22" s="804"/>
      <c r="M22" s="301">
        <f>IF(AND(Hilfstabelle!Q43="",Hilfstabelle!R43=""),J22*12+K22*J22+L22*IF(I22&lt;451,J$7,J$6),IF(OR(Hilfstabelle!Q43="",Hilfstabelle!R43="",Hilfstabelle!Q43=0,Hilfstabelle!R43=0,Hilfstabelle!Q43&gt;Hilfstabelle!R43),0,J22*(Hilfstabelle!R43-Hilfstabelle!Q43+1)+J22*K22+L22*IF(I22&lt;451,J$7,J$6)))</f>
        <v>0</v>
      </c>
      <c r="N22" s="302">
        <f>$C22*(IF(Hilfstabelle!$Q43="",1,IF(Hilfstabelle!$Q43="bis",Hilfstabelle!$R43/12,IF(Hilfstabelle!$Q43="ab",(12-Hilfstabelle!$R43+1)/12,((Hilfstabelle!R43+1)-Hilfstabelle!Q43)/12))))</f>
        <v>0</v>
      </c>
      <c r="O22" s="864"/>
      <c r="P22" s="303">
        <f t="shared" si="1"/>
        <v>0</v>
      </c>
      <c r="Q22" s="262" t="str">
        <f t="shared" si="4"/>
        <v/>
      </c>
      <c r="R22" s="262"/>
      <c r="S22" s="261"/>
      <c r="T22" s="984"/>
      <c r="U22" s="984"/>
      <c r="V22" s="984"/>
      <c r="W22" s="984"/>
      <c r="X22" s="984" t="str">
        <f t="shared" si="2"/>
        <v/>
      </c>
      <c r="Y22" s="984"/>
      <c r="Z22" s="780" t="str">
        <f>IF(AND(Hilfstabelle!$Q43="",Hilfstabelle!$R43=""),"",IF(OR(Hilfstabelle!$Q43="",Hilfstabelle!$R43="",Hilfstabelle!$Q43=0,Hilfstabelle!$R43=0,Hilfstabelle!$Q43&gt;Hilfstabelle!$R43),"ja",""))</f>
        <v/>
      </c>
      <c r="AA22" s="780" t="str">
        <f t="shared" si="3"/>
        <v/>
      </c>
      <c r="AB22" s="950"/>
      <c r="AC22" s="950"/>
      <c r="AD22" s="950"/>
      <c r="AE22" s="978"/>
      <c r="AF22" s="44"/>
      <c r="AG22" s="44"/>
      <c r="AH22" s="44"/>
      <c r="AI22" s="44"/>
      <c r="AJ22" s="44"/>
      <c r="AK22" s="44"/>
      <c r="AL22" s="44"/>
      <c r="AM22" s="44"/>
      <c r="AN22" s="44"/>
    </row>
    <row r="23" spans="1:40" ht="20.100000000000001" hidden="1" customHeight="1" outlineLevel="1">
      <c r="A23" s="282">
        <v>9</v>
      </c>
      <c r="B23" s="861"/>
      <c r="C23" s="860"/>
      <c r="D23" s="991"/>
      <c r="E23" s="991"/>
      <c r="F23" s="803"/>
      <c r="G23" s="802"/>
      <c r="H23" s="802"/>
      <c r="I23" s="306">
        <f t="shared" si="5"/>
        <v>0</v>
      </c>
      <c r="J23" s="300">
        <f t="shared" ref="J23:J34" si="6">IF(C23=0,0,(IF(I23/C23&lt;539,I23*J$7,I23*J$6)))</f>
        <v>0</v>
      </c>
      <c r="K23" s="862"/>
      <c r="L23" s="804"/>
      <c r="M23" s="301">
        <f>IF(AND(Hilfstabelle!Q44="",Hilfstabelle!R44=""),J23*12+K23*J23+L23*IF(I23&lt;451,J$7,J$6),IF(OR(Hilfstabelle!Q44="",Hilfstabelle!R44="",Hilfstabelle!Q44=0,Hilfstabelle!R44=0,Hilfstabelle!Q44&gt;Hilfstabelle!R44),0,J23*(Hilfstabelle!R44-Hilfstabelle!Q44+1)+J23*K23+L23*IF(I23&lt;451,J$7,J$6)))</f>
        <v>0</v>
      </c>
      <c r="N23" s="302">
        <f>$C23*(IF(Hilfstabelle!$Q44="",1,IF(Hilfstabelle!$Q44="bis",Hilfstabelle!$R44/12,IF(Hilfstabelle!$Q44="ab",(12-Hilfstabelle!$R44+1)/12,((Hilfstabelle!R44+1)-Hilfstabelle!Q44)/12))))</f>
        <v>0</v>
      </c>
      <c r="O23" s="864"/>
      <c r="P23" s="303">
        <f t="shared" si="1"/>
        <v>0</v>
      </c>
      <c r="Q23" s="262" t="str">
        <f t="shared" si="4"/>
        <v/>
      </c>
      <c r="R23" s="262"/>
      <c r="S23" s="261"/>
      <c r="T23" s="984"/>
      <c r="U23" s="984"/>
      <c r="V23" s="984"/>
      <c r="W23" s="984"/>
      <c r="X23" s="984" t="str">
        <f t="shared" si="2"/>
        <v/>
      </c>
      <c r="Y23" s="984"/>
      <c r="Z23" s="780" t="str">
        <f>IF(AND(Hilfstabelle!$Q44="",Hilfstabelle!$R44=""),"",IF(OR(Hilfstabelle!$Q44="",Hilfstabelle!$R44="",Hilfstabelle!$Q44=0,Hilfstabelle!$R44=0,Hilfstabelle!$Q44&gt;Hilfstabelle!$R44),"ja",""))</f>
        <v/>
      </c>
      <c r="AA23" s="780" t="str">
        <f t="shared" si="3"/>
        <v/>
      </c>
      <c r="AB23" s="950"/>
      <c r="AC23" s="950"/>
      <c r="AD23" s="950"/>
      <c r="AE23" s="978"/>
      <c r="AF23" s="44"/>
      <c r="AG23" s="44"/>
      <c r="AH23" s="44"/>
      <c r="AI23" s="44"/>
      <c r="AJ23" s="44"/>
      <c r="AK23" s="44"/>
      <c r="AL23" s="44"/>
      <c r="AM23" s="44"/>
      <c r="AN23" s="44"/>
    </row>
    <row r="24" spans="1:40" ht="20.100000000000001" hidden="1" customHeight="1" outlineLevel="1">
      <c r="A24" s="282">
        <v>10</v>
      </c>
      <c r="B24" s="861"/>
      <c r="C24" s="860"/>
      <c r="D24" s="991"/>
      <c r="E24" s="991"/>
      <c r="F24" s="803"/>
      <c r="G24" s="802"/>
      <c r="H24" s="802"/>
      <c r="I24" s="306">
        <f t="shared" si="5"/>
        <v>0</v>
      </c>
      <c r="J24" s="300">
        <f t="shared" si="6"/>
        <v>0</v>
      </c>
      <c r="K24" s="862"/>
      <c r="L24" s="804"/>
      <c r="M24" s="301">
        <f>IF(AND(Hilfstabelle!Q45="",Hilfstabelle!R45=""),J24*12+K24*J24+L24*IF(I24&lt;451,J$7,J$6),IF(OR(Hilfstabelle!Q45="",Hilfstabelle!R45="",Hilfstabelle!Q45=0,Hilfstabelle!R45=0,Hilfstabelle!Q45&gt;Hilfstabelle!R45),0,J24*(Hilfstabelle!R45-Hilfstabelle!Q45+1)+J24*K24+L24*IF(I24&lt;451,J$7,J$6)))</f>
        <v>0</v>
      </c>
      <c r="N24" s="302">
        <f>$C24*(IF(Hilfstabelle!$Q45="",1,IF(Hilfstabelle!$Q45="bis",Hilfstabelle!$R45/12,IF(Hilfstabelle!$Q45="ab",(12-Hilfstabelle!$R45+1)/12,((Hilfstabelle!R45+1)-Hilfstabelle!Q45)/12))))</f>
        <v>0</v>
      </c>
      <c r="O24" s="864"/>
      <c r="P24" s="303">
        <f t="shared" si="1"/>
        <v>0</v>
      </c>
      <c r="Q24" s="262" t="str">
        <f t="shared" si="4"/>
        <v/>
      </c>
      <c r="R24" s="262"/>
      <c r="S24" s="261"/>
      <c r="T24" s="984"/>
      <c r="U24" s="984"/>
      <c r="V24" s="984"/>
      <c r="W24" s="984"/>
      <c r="X24" s="984" t="str">
        <f t="shared" si="2"/>
        <v/>
      </c>
      <c r="Y24" s="984"/>
      <c r="Z24" s="780" t="str">
        <f>IF(AND(Hilfstabelle!$Q45="",Hilfstabelle!$R45=""),"",IF(OR(Hilfstabelle!$Q45="",Hilfstabelle!$R45="",Hilfstabelle!$Q45=0,Hilfstabelle!$R45=0,Hilfstabelle!$Q45&gt;Hilfstabelle!$R45),"ja",""))</f>
        <v/>
      </c>
      <c r="AA24" s="780" t="str">
        <f t="shared" si="3"/>
        <v/>
      </c>
      <c r="AB24" s="950"/>
      <c r="AC24" s="950"/>
      <c r="AD24" s="950"/>
      <c r="AE24" s="978"/>
      <c r="AF24" s="44"/>
      <c r="AG24" s="44"/>
      <c r="AH24" s="44"/>
      <c r="AI24" s="44"/>
      <c r="AJ24" s="44"/>
      <c r="AK24" s="44"/>
      <c r="AL24" s="44"/>
      <c r="AM24" s="44"/>
      <c r="AN24" s="44"/>
    </row>
    <row r="25" spans="1:40" ht="20.100000000000001" hidden="1" customHeight="1" outlineLevel="1">
      <c r="A25" s="282">
        <v>11</v>
      </c>
      <c r="B25" s="861"/>
      <c r="C25" s="860"/>
      <c r="D25" s="991"/>
      <c r="E25" s="991"/>
      <c r="F25" s="803"/>
      <c r="G25" s="802"/>
      <c r="H25" s="802"/>
      <c r="I25" s="306">
        <f t="shared" si="5"/>
        <v>0</v>
      </c>
      <c r="J25" s="300">
        <f t="shared" si="6"/>
        <v>0</v>
      </c>
      <c r="K25" s="862"/>
      <c r="L25" s="804"/>
      <c r="M25" s="301">
        <f>IF(AND(Hilfstabelle!Q46="",Hilfstabelle!R46=""),J25*12+K25*J25+L25*IF(I25&lt;451,J$7,J$6),IF(OR(Hilfstabelle!Q46="",Hilfstabelle!R46="",Hilfstabelle!Q46=0,Hilfstabelle!R46=0,Hilfstabelle!Q46&gt;Hilfstabelle!R46),0,J25*(Hilfstabelle!R46-Hilfstabelle!Q46+1)+J25*K25+L25*IF(I25&lt;451,J$7,J$6)))</f>
        <v>0</v>
      </c>
      <c r="N25" s="302">
        <f>$C25*(IF(Hilfstabelle!$Q46="",1,IF(Hilfstabelle!$Q46="bis",Hilfstabelle!$R46/12,IF(Hilfstabelle!$Q46="ab",(12-Hilfstabelle!$R46+1)/12,((Hilfstabelle!R46+1)-Hilfstabelle!Q46)/12))))</f>
        <v>0</v>
      </c>
      <c r="O25" s="864"/>
      <c r="P25" s="303">
        <f t="shared" si="1"/>
        <v>0</v>
      </c>
      <c r="Q25" s="262" t="str">
        <f t="shared" si="4"/>
        <v/>
      </c>
      <c r="R25" s="262"/>
      <c r="S25" s="261"/>
      <c r="T25" s="984"/>
      <c r="U25" s="984"/>
      <c r="V25" s="984"/>
      <c r="W25" s="984"/>
      <c r="X25" s="984" t="str">
        <f t="shared" si="2"/>
        <v/>
      </c>
      <c r="Y25" s="984"/>
      <c r="Z25" s="780" t="str">
        <f>IF(AND(Hilfstabelle!$Q46="",Hilfstabelle!$R46=""),"",IF(OR(Hilfstabelle!$Q46="",Hilfstabelle!$R46="",Hilfstabelle!$Q46=0,Hilfstabelle!$R46=0,Hilfstabelle!$Q46&gt;Hilfstabelle!$R46),"ja",""))</f>
        <v/>
      </c>
      <c r="AA25" s="780" t="str">
        <f t="shared" si="3"/>
        <v/>
      </c>
      <c r="AB25" s="950"/>
      <c r="AC25" s="950"/>
      <c r="AD25" s="950"/>
      <c r="AE25" s="978"/>
      <c r="AF25" s="44"/>
      <c r="AG25" s="44"/>
      <c r="AH25" s="44"/>
      <c r="AI25" s="44"/>
      <c r="AJ25" s="44"/>
      <c r="AK25" s="44"/>
      <c r="AL25" s="44"/>
      <c r="AM25" s="44"/>
      <c r="AN25" s="44"/>
    </row>
    <row r="26" spans="1:40" ht="20.100000000000001" hidden="1" customHeight="1" outlineLevel="1">
      <c r="A26" s="282">
        <v>12</v>
      </c>
      <c r="B26" s="861"/>
      <c r="C26" s="860"/>
      <c r="D26" s="991"/>
      <c r="E26" s="991"/>
      <c r="F26" s="803"/>
      <c r="G26" s="802"/>
      <c r="H26" s="802"/>
      <c r="I26" s="306">
        <f t="shared" si="5"/>
        <v>0</v>
      </c>
      <c r="J26" s="300">
        <f t="shared" si="6"/>
        <v>0</v>
      </c>
      <c r="K26" s="862"/>
      <c r="L26" s="804"/>
      <c r="M26" s="301">
        <f>IF(AND(Hilfstabelle!Q47="",Hilfstabelle!R47=""),J26*12+K26*J26+L26*IF(I26&lt;451,J$7,J$6),IF(OR(Hilfstabelle!Q47="",Hilfstabelle!R47="",Hilfstabelle!Q47=0,Hilfstabelle!R47=0,Hilfstabelle!Q47&gt;Hilfstabelle!R47),0,J26*(Hilfstabelle!R47-Hilfstabelle!Q47+1)+J26*K26+L26*IF(I26&lt;451,J$7,J$6)))</f>
        <v>0</v>
      </c>
      <c r="N26" s="302">
        <f>$C26*(IF(Hilfstabelle!$Q47="",1,IF(Hilfstabelle!$Q47="bis",Hilfstabelle!$R47/12,IF(Hilfstabelle!$Q47="ab",(12-Hilfstabelle!$R47+1)/12,((Hilfstabelle!R47+1)-Hilfstabelle!Q47)/12))))</f>
        <v>0</v>
      </c>
      <c r="O26" s="864"/>
      <c r="P26" s="303">
        <f t="shared" si="1"/>
        <v>0</v>
      </c>
      <c r="Q26" s="262" t="str">
        <f t="shared" si="4"/>
        <v/>
      </c>
      <c r="R26" s="262"/>
      <c r="S26" s="261"/>
      <c r="T26" s="984"/>
      <c r="U26" s="984"/>
      <c r="V26" s="984"/>
      <c r="W26" s="984"/>
      <c r="X26" s="984" t="str">
        <f t="shared" si="2"/>
        <v/>
      </c>
      <c r="Y26" s="984"/>
      <c r="Z26" s="780" t="str">
        <f>IF(AND(Hilfstabelle!$Q47="",Hilfstabelle!$R47=""),"",IF(OR(Hilfstabelle!$Q47="",Hilfstabelle!$R47="",Hilfstabelle!$Q47=0,Hilfstabelle!$R47=0,Hilfstabelle!$Q47&gt;Hilfstabelle!$R47),"ja",""))</f>
        <v/>
      </c>
      <c r="AA26" s="780" t="str">
        <f t="shared" si="3"/>
        <v/>
      </c>
      <c r="AB26" s="950"/>
      <c r="AC26" s="950"/>
      <c r="AD26" s="950"/>
      <c r="AE26" s="978"/>
      <c r="AF26" s="44"/>
      <c r="AG26" s="44"/>
      <c r="AH26" s="44"/>
      <c r="AI26" s="44"/>
      <c r="AJ26" s="44"/>
      <c r="AK26" s="44"/>
      <c r="AL26" s="44"/>
      <c r="AM26" s="44"/>
      <c r="AN26" s="44"/>
    </row>
    <row r="27" spans="1:40" ht="20.100000000000001" hidden="1" customHeight="1" outlineLevel="1">
      <c r="A27" s="282">
        <v>13</v>
      </c>
      <c r="B27" s="861"/>
      <c r="C27" s="860"/>
      <c r="D27" s="991"/>
      <c r="E27" s="991"/>
      <c r="F27" s="803"/>
      <c r="G27" s="802"/>
      <c r="H27" s="802"/>
      <c r="I27" s="306">
        <f t="shared" si="5"/>
        <v>0</v>
      </c>
      <c r="J27" s="300">
        <f t="shared" si="6"/>
        <v>0</v>
      </c>
      <c r="K27" s="862"/>
      <c r="L27" s="804"/>
      <c r="M27" s="301">
        <f>IF(AND(Hilfstabelle!Q48="",Hilfstabelle!R48=""),J27*12+K27*J27+L27*IF(I27&lt;451,J$7,J$6),IF(OR(Hilfstabelle!Q48="",Hilfstabelle!R48="",Hilfstabelle!Q48=0,Hilfstabelle!R48=0,Hilfstabelle!Q48&gt;Hilfstabelle!R48),0,J27*(Hilfstabelle!R48-Hilfstabelle!Q48+1)+J27*K27+L27*IF(I27&lt;451,J$7,J$6)))</f>
        <v>0</v>
      </c>
      <c r="N27" s="302">
        <f>$C27*(IF(Hilfstabelle!$Q48="",1,IF(Hilfstabelle!$Q48="bis",Hilfstabelle!$R48/12,IF(Hilfstabelle!$Q48="ab",(12-Hilfstabelle!$R48+1)/12,((Hilfstabelle!R48+1)-Hilfstabelle!Q48)/12))))</f>
        <v>0</v>
      </c>
      <c r="O27" s="864"/>
      <c r="P27" s="303">
        <f t="shared" si="1"/>
        <v>0</v>
      </c>
      <c r="Q27" s="262" t="str">
        <f t="shared" si="4"/>
        <v/>
      </c>
      <c r="R27" s="262"/>
      <c r="S27" s="261"/>
      <c r="T27" s="984"/>
      <c r="U27" s="984"/>
      <c r="V27" s="984"/>
      <c r="W27" s="984"/>
      <c r="X27" s="984" t="str">
        <f t="shared" si="2"/>
        <v/>
      </c>
      <c r="Y27" s="984"/>
      <c r="Z27" s="780" t="str">
        <f>IF(AND(Hilfstabelle!$Q48="",Hilfstabelle!$R48=""),"",IF(OR(Hilfstabelle!$Q48="",Hilfstabelle!$R48="",Hilfstabelle!$Q48=0,Hilfstabelle!$R48=0,Hilfstabelle!$Q48&gt;Hilfstabelle!$R48),"ja",""))</f>
        <v/>
      </c>
      <c r="AA27" s="780" t="str">
        <f t="shared" si="3"/>
        <v/>
      </c>
      <c r="AB27" s="950"/>
      <c r="AC27" s="950"/>
      <c r="AD27" s="950"/>
      <c r="AE27" s="978"/>
      <c r="AF27" s="44"/>
      <c r="AG27" s="44"/>
      <c r="AH27" s="44"/>
      <c r="AI27" s="44"/>
      <c r="AJ27" s="44"/>
      <c r="AK27" s="44"/>
      <c r="AL27" s="44"/>
      <c r="AM27" s="44"/>
      <c r="AN27" s="44"/>
    </row>
    <row r="28" spans="1:40" ht="20.100000000000001" hidden="1" customHeight="1" outlineLevel="1">
      <c r="A28" s="282">
        <v>14</v>
      </c>
      <c r="B28" s="861"/>
      <c r="C28" s="860"/>
      <c r="D28" s="991"/>
      <c r="E28" s="991"/>
      <c r="F28" s="803"/>
      <c r="G28" s="802"/>
      <c r="H28" s="802"/>
      <c r="I28" s="306">
        <f t="shared" si="5"/>
        <v>0</v>
      </c>
      <c r="J28" s="300">
        <f t="shared" si="6"/>
        <v>0</v>
      </c>
      <c r="K28" s="862"/>
      <c r="L28" s="804"/>
      <c r="M28" s="301">
        <f>IF(AND(Hilfstabelle!Q49="",Hilfstabelle!R49=""),J28*12+K28*J28+L28*IF(I28&lt;451,J$7,J$6),IF(OR(Hilfstabelle!Q49="",Hilfstabelle!R49="",Hilfstabelle!Q49=0,Hilfstabelle!R49=0,Hilfstabelle!Q49&gt;Hilfstabelle!R49),0,J28*(Hilfstabelle!R49-Hilfstabelle!Q49+1)+J28*K28+L28*IF(I28&lt;451,J$7,J$6)))</f>
        <v>0</v>
      </c>
      <c r="N28" s="302">
        <f>$C28*(IF(Hilfstabelle!$Q49="",1,IF(Hilfstabelle!$Q49="bis",Hilfstabelle!$R49/12,IF(Hilfstabelle!$Q49="ab",(12-Hilfstabelle!$R49+1)/12,((Hilfstabelle!R49+1)-Hilfstabelle!Q49)/12))))</f>
        <v>0</v>
      </c>
      <c r="O28" s="864"/>
      <c r="P28" s="303">
        <f t="shared" si="1"/>
        <v>0</v>
      </c>
      <c r="Q28" s="262" t="str">
        <f t="shared" si="4"/>
        <v/>
      </c>
      <c r="R28" s="262"/>
      <c r="S28" s="261"/>
      <c r="T28" s="984"/>
      <c r="U28" s="984"/>
      <c r="V28" s="984"/>
      <c r="W28" s="984"/>
      <c r="X28" s="984" t="str">
        <f t="shared" si="2"/>
        <v/>
      </c>
      <c r="Y28" s="984"/>
      <c r="Z28" s="780" t="str">
        <f>IF(AND(Hilfstabelle!$Q49="",Hilfstabelle!$R49=""),"",IF(OR(Hilfstabelle!$Q49="",Hilfstabelle!$R49="",Hilfstabelle!$Q49=0,Hilfstabelle!$R49=0,Hilfstabelle!$Q49&gt;Hilfstabelle!$R49),"ja",""))</f>
        <v/>
      </c>
      <c r="AA28" s="780" t="str">
        <f t="shared" si="3"/>
        <v/>
      </c>
      <c r="AB28" s="950"/>
      <c r="AC28" s="950"/>
      <c r="AD28" s="950"/>
      <c r="AE28" s="978"/>
      <c r="AF28" s="44"/>
      <c r="AG28" s="44"/>
      <c r="AH28" s="44"/>
      <c r="AI28" s="44"/>
      <c r="AJ28" s="44"/>
      <c r="AK28" s="44"/>
      <c r="AL28" s="44"/>
      <c r="AM28" s="44"/>
      <c r="AN28" s="44"/>
    </row>
    <row r="29" spans="1:40" ht="20.100000000000001" hidden="1" customHeight="1" outlineLevel="1">
      <c r="A29" s="282">
        <v>15</v>
      </c>
      <c r="B29" s="861"/>
      <c r="C29" s="860"/>
      <c r="D29" s="991"/>
      <c r="E29" s="991"/>
      <c r="F29" s="803"/>
      <c r="G29" s="802"/>
      <c r="H29" s="802"/>
      <c r="I29" s="306">
        <f t="shared" si="5"/>
        <v>0</v>
      </c>
      <c r="J29" s="300">
        <f t="shared" si="6"/>
        <v>0</v>
      </c>
      <c r="K29" s="862"/>
      <c r="L29" s="804"/>
      <c r="M29" s="301">
        <f>IF(AND(Hilfstabelle!Q50="",Hilfstabelle!R50=""),J29*12+K29*J29+L29*IF(I29&lt;451,J$7,J$6),IF(OR(Hilfstabelle!Q50="",Hilfstabelle!R50="",Hilfstabelle!Q50=0,Hilfstabelle!R50=0,Hilfstabelle!Q50&gt;Hilfstabelle!R50),0,J29*(Hilfstabelle!R50-Hilfstabelle!Q50+1)+J29*K29+L29*IF(I29&lt;451,J$7,J$6)))</f>
        <v>0</v>
      </c>
      <c r="N29" s="302">
        <f>$C29*(IF(Hilfstabelle!$Q50="",1,IF(Hilfstabelle!$Q50="bis",Hilfstabelle!$R50/12,IF(Hilfstabelle!$Q50="ab",(12-Hilfstabelle!$R50+1)/12,((Hilfstabelle!R50+1)-Hilfstabelle!Q50)/12))))</f>
        <v>0</v>
      </c>
      <c r="O29" s="864"/>
      <c r="P29" s="303">
        <f t="shared" si="1"/>
        <v>0</v>
      </c>
      <c r="Q29" s="262" t="str">
        <f t="shared" si="4"/>
        <v/>
      </c>
      <c r="R29" s="262"/>
      <c r="S29" s="261"/>
      <c r="T29" s="984"/>
      <c r="U29" s="984"/>
      <c r="V29" s="984"/>
      <c r="W29" s="984"/>
      <c r="X29" s="984" t="str">
        <f t="shared" si="2"/>
        <v/>
      </c>
      <c r="Y29" s="984"/>
      <c r="Z29" s="780" t="str">
        <f>IF(AND(Hilfstabelle!$Q50="",Hilfstabelle!$R50=""),"",IF(OR(Hilfstabelle!$Q50="",Hilfstabelle!$R50="",Hilfstabelle!$Q50=0,Hilfstabelle!$R50=0,Hilfstabelle!$Q50&gt;Hilfstabelle!$R50),"ja",""))</f>
        <v/>
      </c>
      <c r="AA29" s="780" t="str">
        <f t="shared" si="3"/>
        <v/>
      </c>
      <c r="AB29" s="950"/>
      <c r="AC29" s="950"/>
      <c r="AD29" s="950"/>
      <c r="AE29" s="978"/>
      <c r="AF29" s="44"/>
      <c r="AG29" s="44"/>
      <c r="AH29" s="44"/>
      <c r="AI29" s="44"/>
      <c r="AJ29" s="44"/>
      <c r="AK29" s="44"/>
      <c r="AL29" s="44"/>
      <c r="AM29" s="44"/>
      <c r="AN29" s="44"/>
    </row>
    <row r="30" spans="1:40" ht="20.100000000000001" hidden="1" customHeight="1" outlineLevel="1">
      <c r="A30" s="282">
        <v>16</v>
      </c>
      <c r="B30" s="861"/>
      <c r="C30" s="860"/>
      <c r="D30" s="991"/>
      <c r="E30" s="991"/>
      <c r="F30" s="803"/>
      <c r="G30" s="802"/>
      <c r="H30" s="802"/>
      <c r="I30" s="306">
        <f t="shared" si="5"/>
        <v>0</v>
      </c>
      <c r="J30" s="300">
        <f t="shared" si="6"/>
        <v>0</v>
      </c>
      <c r="K30" s="862"/>
      <c r="L30" s="804"/>
      <c r="M30" s="301">
        <f>IF(AND(Hilfstabelle!Q51="",Hilfstabelle!R51=""),J30*12+K30*J30+L30*IF(I30&lt;451,J$7,J$6),IF(OR(Hilfstabelle!Q51="",Hilfstabelle!R51="",Hilfstabelle!Q51=0,Hilfstabelle!R51=0,Hilfstabelle!Q51&gt;Hilfstabelle!R51),0,J30*(Hilfstabelle!R51-Hilfstabelle!Q51+1)+J30*K30+L30*IF(I30&lt;451,J$7,J$6)))</f>
        <v>0</v>
      </c>
      <c r="N30" s="302">
        <f>$C30*(IF(Hilfstabelle!$Q51="",1,IF(Hilfstabelle!$Q51="bis",Hilfstabelle!$R51/12,IF(Hilfstabelle!$Q51="ab",(12-Hilfstabelle!$R51+1)/12,((Hilfstabelle!R51+1)-Hilfstabelle!Q51)/12))))</f>
        <v>0</v>
      </c>
      <c r="O30" s="864"/>
      <c r="P30" s="303">
        <f t="shared" si="1"/>
        <v>0</v>
      </c>
      <c r="Q30" s="262" t="str">
        <f t="shared" si="4"/>
        <v/>
      </c>
      <c r="R30" s="262"/>
      <c r="S30" s="261"/>
      <c r="T30" s="984"/>
      <c r="U30" s="984"/>
      <c r="V30" s="984"/>
      <c r="W30" s="984"/>
      <c r="X30" s="984" t="str">
        <f t="shared" si="2"/>
        <v/>
      </c>
      <c r="Y30" s="984"/>
      <c r="Z30" s="780" t="str">
        <f>IF(AND(Hilfstabelle!$Q51="",Hilfstabelle!$R51=""),"",IF(OR(Hilfstabelle!$Q51="",Hilfstabelle!$R51="",Hilfstabelle!$Q51=0,Hilfstabelle!$R51=0,Hilfstabelle!$Q51&gt;Hilfstabelle!$R51),"ja",""))</f>
        <v/>
      </c>
      <c r="AA30" s="780" t="str">
        <f t="shared" si="3"/>
        <v/>
      </c>
      <c r="AB30" s="950"/>
      <c r="AC30" s="950"/>
      <c r="AD30" s="950"/>
      <c r="AE30" s="978"/>
      <c r="AF30" s="44"/>
      <c r="AG30" s="44"/>
      <c r="AH30" s="44"/>
      <c r="AI30" s="44"/>
      <c r="AJ30" s="44"/>
      <c r="AK30" s="44"/>
      <c r="AL30" s="44"/>
      <c r="AM30" s="44"/>
      <c r="AN30" s="44"/>
    </row>
    <row r="31" spans="1:40" ht="20.100000000000001" hidden="1" customHeight="1" outlineLevel="1">
      <c r="A31" s="282">
        <v>17</v>
      </c>
      <c r="B31" s="861"/>
      <c r="C31" s="860"/>
      <c r="D31" s="991"/>
      <c r="E31" s="991"/>
      <c r="F31" s="803"/>
      <c r="G31" s="802"/>
      <c r="H31" s="802"/>
      <c r="I31" s="306">
        <f t="shared" si="5"/>
        <v>0</v>
      </c>
      <c r="J31" s="300">
        <f t="shared" si="6"/>
        <v>0</v>
      </c>
      <c r="K31" s="862"/>
      <c r="L31" s="804"/>
      <c r="M31" s="301">
        <f>IF(AND(Hilfstabelle!Q52="",Hilfstabelle!R52=""),J31*12+K31*J31+L31*IF(I31&lt;451,J$7,J$6),IF(OR(Hilfstabelle!Q52="",Hilfstabelle!R52="",Hilfstabelle!Q52=0,Hilfstabelle!R52=0,Hilfstabelle!Q52&gt;Hilfstabelle!R52),0,J31*(Hilfstabelle!R52-Hilfstabelle!Q52+1)+J31*K31+L31*IF(I31&lt;451,J$7,J$6)))</f>
        <v>0</v>
      </c>
      <c r="N31" s="302">
        <f>$C31*(IF(Hilfstabelle!$Q52="",1,IF(Hilfstabelle!$Q52="bis",Hilfstabelle!$R52/12,IF(Hilfstabelle!$Q52="ab",(12-Hilfstabelle!$R52+1)/12,((Hilfstabelle!R52+1)-Hilfstabelle!Q52)/12))))</f>
        <v>0</v>
      </c>
      <c r="O31" s="864"/>
      <c r="P31" s="303">
        <f t="shared" si="1"/>
        <v>0</v>
      </c>
      <c r="Q31" s="262" t="str">
        <f t="shared" si="4"/>
        <v/>
      </c>
      <c r="R31" s="262"/>
      <c r="S31" s="261"/>
      <c r="T31" s="984"/>
      <c r="U31" s="984"/>
      <c r="V31" s="984"/>
      <c r="W31" s="984"/>
      <c r="X31" s="984" t="str">
        <f t="shared" si="2"/>
        <v/>
      </c>
      <c r="Y31" s="984"/>
      <c r="Z31" s="780" t="str">
        <f>IF(AND(Hilfstabelle!$Q52="",Hilfstabelle!$R52=""),"",IF(OR(Hilfstabelle!$Q52="",Hilfstabelle!$R52="",Hilfstabelle!$Q52=0,Hilfstabelle!$R52=0,Hilfstabelle!$Q52&gt;Hilfstabelle!$R52),"ja",""))</f>
        <v/>
      </c>
      <c r="AA31" s="780" t="str">
        <f t="shared" si="3"/>
        <v/>
      </c>
      <c r="AB31" s="950"/>
      <c r="AC31" s="950"/>
      <c r="AD31" s="950"/>
      <c r="AE31" s="978"/>
      <c r="AF31" s="44"/>
      <c r="AG31" s="44"/>
      <c r="AH31" s="44"/>
      <c r="AI31" s="44"/>
      <c r="AJ31" s="44"/>
      <c r="AK31" s="44"/>
      <c r="AL31" s="44"/>
      <c r="AM31" s="44"/>
      <c r="AN31" s="44"/>
    </row>
    <row r="32" spans="1:40" ht="20.100000000000001" hidden="1" customHeight="1" outlineLevel="1">
      <c r="A32" s="282">
        <v>18</v>
      </c>
      <c r="B32" s="861"/>
      <c r="C32" s="860"/>
      <c r="D32" s="991"/>
      <c r="E32" s="991"/>
      <c r="F32" s="803"/>
      <c r="G32" s="802"/>
      <c r="H32" s="802"/>
      <c r="I32" s="306">
        <f t="shared" si="5"/>
        <v>0</v>
      </c>
      <c r="J32" s="300">
        <f t="shared" si="6"/>
        <v>0</v>
      </c>
      <c r="K32" s="862"/>
      <c r="L32" s="804"/>
      <c r="M32" s="301">
        <f>IF(AND(Hilfstabelle!Q53="",Hilfstabelle!R53=""),J32*12+K32*J32+L32*IF(I32&lt;451,J$7,J$6),IF(OR(Hilfstabelle!Q53="",Hilfstabelle!R53="",Hilfstabelle!Q53=0,Hilfstabelle!R53=0,Hilfstabelle!Q53&gt;Hilfstabelle!R53),0,J32*(Hilfstabelle!R53-Hilfstabelle!Q53+1)+J32*K32+L32*IF(I32&lt;451,J$7,J$6)))</f>
        <v>0</v>
      </c>
      <c r="N32" s="302">
        <f>$C32*(IF(Hilfstabelle!$Q53="",1,IF(Hilfstabelle!$Q53="bis",Hilfstabelle!$R53/12,IF(Hilfstabelle!$Q53="ab",(12-Hilfstabelle!$R53+1)/12,((Hilfstabelle!R53+1)-Hilfstabelle!Q53)/12))))</f>
        <v>0</v>
      </c>
      <c r="O32" s="864"/>
      <c r="P32" s="303">
        <f t="shared" si="1"/>
        <v>0</v>
      </c>
      <c r="Q32" s="262" t="str">
        <f t="shared" si="4"/>
        <v/>
      </c>
      <c r="R32" s="262"/>
      <c r="S32" s="261"/>
      <c r="T32" s="984"/>
      <c r="U32" s="984"/>
      <c r="V32" s="984"/>
      <c r="W32" s="984"/>
      <c r="X32" s="984" t="str">
        <f t="shared" si="2"/>
        <v/>
      </c>
      <c r="Y32" s="984"/>
      <c r="Z32" s="780" t="str">
        <f>IF(AND(Hilfstabelle!$Q53="",Hilfstabelle!$R53=""),"",IF(OR(Hilfstabelle!$Q53="",Hilfstabelle!$R53="",Hilfstabelle!$Q53=0,Hilfstabelle!$R53=0,Hilfstabelle!$Q53&gt;Hilfstabelle!$R53),"ja",""))</f>
        <v/>
      </c>
      <c r="AA32" s="780" t="str">
        <f t="shared" si="3"/>
        <v/>
      </c>
      <c r="AB32" s="950"/>
      <c r="AC32" s="950"/>
      <c r="AD32" s="950"/>
      <c r="AE32" s="978"/>
      <c r="AF32" s="44"/>
      <c r="AG32" s="44"/>
      <c r="AH32" s="44"/>
      <c r="AI32" s="44"/>
      <c r="AJ32" s="44"/>
      <c r="AK32" s="44"/>
      <c r="AL32" s="44"/>
      <c r="AM32" s="44"/>
      <c r="AN32" s="44"/>
    </row>
    <row r="33" spans="1:40" ht="20.100000000000001" hidden="1" customHeight="1" outlineLevel="1">
      <c r="A33" s="282">
        <v>19</v>
      </c>
      <c r="B33" s="861"/>
      <c r="C33" s="860"/>
      <c r="D33" s="991"/>
      <c r="E33" s="991"/>
      <c r="F33" s="803"/>
      <c r="G33" s="802"/>
      <c r="H33" s="802"/>
      <c r="I33" s="306">
        <f>IF(C33=0,0,IF(C33&gt;=1,C33*IF(F33="",H33,F33*G33*4.33)))</f>
        <v>0</v>
      </c>
      <c r="J33" s="300">
        <f t="shared" si="6"/>
        <v>0</v>
      </c>
      <c r="K33" s="862"/>
      <c r="L33" s="804"/>
      <c r="M33" s="301">
        <f>IF(AND(Hilfstabelle!Q54="",Hilfstabelle!R54=""),J33*12+K33*J33+L33*IF(I33&lt;451,J$7,J$6),IF(OR(Hilfstabelle!Q54="",Hilfstabelle!R54="",Hilfstabelle!Q54=0,Hilfstabelle!R54=0,Hilfstabelle!Q54&gt;Hilfstabelle!R54),0,J33*(Hilfstabelle!R54-Hilfstabelle!Q54+1)+J33*K33+L33*IF(I33&lt;451,J$7,J$6)))</f>
        <v>0</v>
      </c>
      <c r="N33" s="302">
        <f>$C33*(IF(Hilfstabelle!$Q54="",1,IF(Hilfstabelle!$Q54="bis",Hilfstabelle!$R54/12,IF(Hilfstabelle!$Q54="ab",(12-Hilfstabelle!$R54+1)/12,((Hilfstabelle!R54+1)-Hilfstabelle!Q54)/12))))</f>
        <v>0</v>
      </c>
      <c r="O33" s="864"/>
      <c r="P33" s="303">
        <f t="shared" si="1"/>
        <v>0</v>
      </c>
      <c r="Q33" s="262" t="str">
        <f t="shared" si="4"/>
        <v/>
      </c>
      <c r="R33" s="262"/>
      <c r="S33" s="261"/>
      <c r="T33" s="984"/>
      <c r="U33" s="984"/>
      <c r="V33" s="984"/>
      <c r="W33" s="984"/>
      <c r="X33" s="984" t="str">
        <f t="shared" si="2"/>
        <v/>
      </c>
      <c r="Y33" s="984"/>
      <c r="Z33" s="780" t="str">
        <f>IF(AND(Hilfstabelle!$Q54="",Hilfstabelle!$R54=""),"",IF(OR(Hilfstabelle!$Q54="",Hilfstabelle!$R54="",Hilfstabelle!$Q54=0,Hilfstabelle!$R54=0,Hilfstabelle!$Q54&gt;Hilfstabelle!$R54),"ja",""))</f>
        <v/>
      </c>
      <c r="AA33" s="780" t="str">
        <f t="shared" si="3"/>
        <v/>
      </c>
      <c r="AB33" s="950"/>
      <c r="AC33" s="950"/>
      <c r="AD33" s="950"/>
      <c r="AE33" s="978"/>
      <c r="AF33" s="44"/>
      <c r="AG33" s="44"/>
      <c r="AH33" s="44"/>
      <c r="AI33" s="44"/>
      <c r="AJ33" s="44"/>
      <c r="AK33" s="44"/>
      <c r="AL33" s="44"/>
      <c r="AM33" s="44"/>
      <c r="AN33" s="44"/>
    </row>
    <row r="34" spans="1:40" ht="20.100000000000001" hidden="1" customHeight="1" outlineLevel="1">
      <c r="A34" s="282">
        <v>20</v>
      </c>
      <c r="B34" s="861"/>
      <c r="C34" s="860"/>
      <c r="D34" s="991"/>
      <c r="E34" s="991"/>
      <c r="F34" s="803"/>
      <c r="G34" s="802"/>
      <c r="H34" s="802"/>
      <c r="I34" s="306">
        <f>IF(C34=0,0,IF(C34&gt;=1,C34*IF(F34="",H34,F34*G34*4.33)))</f>
        <v>0</v>
      </c>
      <c r="J34" s="300">
        <f t="shared" si="6"/>
        <v>0</v>
      </c>
      <c r="K34" s="862"/>
      <c r="L34" s="804"/>
      <c r="M34" s="301">
        <f>IF(AND(Hilfstabelle!Q55="",Hilfstabelle!R55=""),J34*12+K34*J34+L34*IF(I34&lt;451,J$7,J$6),IF(OR(Hilfstabelle!Q55="",Hilfstabelle!R55="",Hilfstabelle!Q55=0,Hilfstabelle!R55=0,Hilfstabelle!Q55&gt;Hilfstabelle!R55),0,J34*(Hilfstabelle!R55-Hilfstabelle!Q55+1)+J34*K34+L34*IF(I34&lt;451,J$7,J$6)))</f>
        <v>0</v>
      </c>
      <c r="N34" s="302">
        <f>$C34*(IF(Hilfstabelle!$Q55="",1,IF(Hilfstabelle!$Q55="bis",Hilfstabelle!$R55/12,IF(Hilfstabelle!$Q55="ab",(12-Hilfstabelle!$R55+1)/12,((Hilfstabelle!R55+1)-Hilfstabelle!Q55)/12))))</f>
        <v>0</v>
      </c>
      <c r="O34" s="864"/>
      <c r="P34" s="303">
        <f t="shared" si="1"/>
        <v>0</v>
      </c>
      <c r="Q34" s="262" t="str">
        <f t="shared" si="4"/>
        <v/>
      </c>
      <c r="R34" s="262"/>
      <c r="S34" s="261"/>
      <c r="T34" s="984"/>
      <c r="U34" s="984"/>
      <c r="V34" s="984"/>
      <c r="W34" s="984"/>
      <c r="X34" s="984" t="str">
        <f t="shared" si="2"/>
        <v/>
      </c>
      <c r="Y34" s="984"/>
      <c r="Z34" s="780" t="str">
        <f>IF(AND(Hilfstabelle!$Q55="",Hilfstabelle!$R55=""),"",IF(OR(Hilfstabelle!$Q55="",Hilfstabelle!$R55="",Hilfstabelle!$Q55=0,Hilfstabelle!$R55=0,Hilfstabelle!$Q55&gt;Hilfstabelle!$R55),"ja",""))</f>
        <v/>
      </c>
      <c r="AA34" s="780" t="str">
        <f t="shared" si="3"/>
        <v/>
      </c>
      <c r="AB34" s="950"/>
      <c r="AC34" s="950"/>
      <c r="AD34" s="950"/>
      <c r="AE34" s="978"/>
      <c r="AF34" s="44"/>
      <c r="AG34" s="44"/>
      <c r="AH34" s="44"/>
      <c r="AI34" s="44"/>
      <c r="AJ34" s="44"/>
      <c r="AK34" s="44"/>
      <c r="AL34" s="44"/>
      <c r="AM34" s="44"/>
      <c r="AN34" s="44"/>
    </row>
    <row r="35" spans="1:40" ht="20.100000000000001" customHeight="1" collapsed="1">
      <c r="A35" s="282">
        <f>IF(SUM(C23:C34)=0,9,21)</f>
        <v>9</v>
      </c>
      <c r="B35" s="304" t="s">
        <v>256</v>
      </c>
      <c r="C35" s="860">
        <v>1</v>
      </c>
      <c r="D35" s="303"/>
      <c r="E35" s="303"/>
      <c r="F35" s="303"/>
      <c r="G35" s="305"/>
      <c r="H35" s="305"/>
      <c r="I35" s="306"/>
      <c r="J35" s="300"/>
      <c r="K35" s="307"/>
      <c r="L35" s="308"/>
      <c r="M35" s="301"/>
      <c r="N35" s="302">
        <f>$C35*(IF(Hilfstabelle!$Q56="",1,IF(Hilfstabelle!$Q56="bis",Hilfstabelle!$R56/12,IF(Hilfstabelle!$Q56="ab",(12-Hilfstabelle!$R56+1)/12,((Hilfstabelle!R56+1)-Hilfstabelle!Q56)/12))))</f>
        <v>1</v>
      </c>
      <c r="O35" s="864"/>
      <c r="P35" s="303">
        <f t="shared" si="1"/>
        <v>0</v>
      </c>
      <c r="Q35" s="262"/>
      <c r="R35" s="262"/>
      <c r="S35" s="261"/>
      <c r="T35" s="984"/>
      <c r="U35" s="984"/>
      <c r="V35" s="984"/>
      <c r="W35" s="984"/>
      <c r="X35" s="984" t="str">
        <f t="shared" si="2"/>
        <v/>
      </c>
      <c r="Y35" s="984"/>
      <c r="Z35" s="780" t="str">
        <f>IF(AND(Hilfstabelle!$Q56="",Hilfstabelle!$R56=""),"",IF(OR(Hilfstabelle!$Q56="",Hilfstabelle!$R56="",Hilfstabelle!$Q56=0,Hilfstabelle!$R56=0,Hilfstabelle!$Q56&gt;Hilfstabelle!$R56),"ja",""))</f>
        <v/>
      </c>
      <c r="AA35" s="780"/>
      <c r="AB35" s="950"/>
      <c r="AC35" s="950"/>
      <c r="AD35" s="950"/>
      <c r="AE35" s="978"/>
      <c r="AF35" s="44"/>
      <c r="AG35" s="44"/>
      <c r="AH35" s="44"/>
      <c r="AI35" s="44"/>
      <c r="AJ35" s="44"/>
      <c r="AK35" s="44"/>
      <c r="AL35" s="44"/>
      <c r="AM35" s="44"/>
      <c r="AN35" s="44"/>
    </row>
    <row r="36" spans="1:40" ht="20.100000000000001" customHeight="1">
      <c r="A36" s="289">
        <f>IF(A35=9,10,22)</f>
        <v>10</v>
      </c>
      <c r="B36" s="861" t="s">
        <v>282</v>
      </c>
      <c r="C36" s="860"/>
      <c r="D36" s="991"/>
      <c r="E36" s="991"/>
      <c r="F36" s="803"/>
      <c r="G36" s="802"/>
      <c r="H36" s="802"/>
      <c r="I36" s="299">
        <f>IF(C36=0,0,IF(C36&gt;=1,IF(AND(OR(F36&gt;=1,G36&gt;=1), H36&gt;1),"Gehalt ???",C36*IF(F36="",H36,F36*G36*4.33))))</f>
        <v>0</v>
      </c>
      <c r="J36" s="300">
        <f>I36</f>
        <v>0</v>
      </c>
      <c r="K36" s="862"/>
      <c r="L36" s="804"/>
      <c r="M36" s="301">
        <f>IF(AND(Hilfstabelle!Q57="",Hilfstabelle!R57=""),J36*12+K36*J36+L36*IF(I36&lt;451,J$7,J$6),IF(OR(Hilfstabelle!Q57="",Hilfstabelle!R57="",Hilfstabelle!Q57=0,Hilfstabelle!R57=0,Hilfstabelle!Q57&gt;Hilfstabelle!R57),0,J36*(Hilfstabelle!R57-Hilfstabelle!Q57+1)+J36*K36+L36*IF(I36&lt;451,J$7,J$6)))</f>
        <v>0</v>
      </c>
      <c r="N36" s="302">
        <f>$C36*(IF(Hilfstabelle!$Q57="",1,IF(Hilfstabelle!$Q57="bis",Hilfstabelle!$R57/12,IF(Hilfstabelle!$Q57="ab",(12-Hilfstabelle!$R57+1)/12,((Hilfstabelle!R57+1)-Hilfstabelle!Q57)/12))))</f>
        <v>0</v>
      </c>
      <c r="O36" s="864"/>
      <c r="P36" s="303">
        <f t="shared" si="1"/>
        <v>0</v>
      </c>
      <c r="Q36" s="262" t="str">
        <f t="shared" si="4"/>
        <v/>
      </c>
      <c r="R36" s="262"/>
      <c r="S36" s="261"/>
      <c r="T36" s="984"/>
      <c r="U36" s="984"/>
      <c r="V36" s="984"/>
      <c r="W36" s="984"/>
      <c r="X36" s="984" t="str">
        <f t="shared" si="2"/>
        <v/>
      </c>
      <c r="Y36" s="984"/>
      <c r="Z36" s="780" t="str">
        <f>IF(AND(Hilfstabelle!$Q57="",Hilfstabelle!$R57=""),"",IF(OR(Hilfstabelle!$Q57="",Hilfstabelle!$R57="",Hilfstabelle!$Q57=0,Hilfstabelle!$R57=0,Hilfstabelle!$Q57&gt;Hilfstabelle!$R57),"ja",""))</f>
        <v/>
      </c>
      <c r="AA36" s="780" t="str">
        <f t="shared" si="3"/>
        <v/>
      </c>
      <c r="AB36" s="950"/>
      <c r="AC36" s="950"/>
      <c r="AD36" s="950"/>
      <c r="AE36" s="978"/>
      <c r="AF36" s="44"/>
      <c r="AG36" s="44"/>
      <c r="AH36" s="44"/>
      <c r="AI36" s="44"/>
      <c r="AJ36" s="44"/>
      <c r="AK36" s="44"/>
      <c r="AL36" s="44"/>
      <c r="AM36" s="44"/>
      <c r="AN36" s="44"/>
    </row>
    <row r="37" spans="1:40" ht="20.100000000000001" customHeight="1">
      <c r="A37" s="289">
        <f>IF(A36=10,11,23)</f>
        <v>11</v>
      </c>
      <c r="B37" s="861" t="s">
        <v>282</v>
      </c>
      <c r="C37" s="860"/>
      <c r="D37" s="991"/>
      <c r="E37" s="991"/>
      <c r="F37" s="803"/>
      <c r="G37" s="802"/>
      <c r="H37" s="802"/>
      <c r="I37" s="299">
        <f>IF(C37=0,0,IF(C37&gt;=1,IF(AND(OR(F37&gt;=1,G37&gt;=1), H37&gt;1),"Gehalt ???",C37*IF(F37="",H37,F37*G37*4.33))))</f>
        <v>0</v>
      </c>
      <c r="J37" s="300">
        <f>I37</f>
        <v>0</v>
      </c>
      <c r="K37" s="862"/>
      <c r="L37" s="804"/>
      <c r="M37" s="301">
        <f>IF(AND(Hilfstabelle!Q58="",Hilfstabelle!R58=""),J37*12+K37*J37+L37*IF(I37&lt;451,J$7,J$6),IF(OR(Hilfstabelle!Q58="",Hilfstabelle!R58="",Hilfstabelle!Q58=0,Hilfstabelle!R58=0,Hilfstabelle!Q58&gt;Hilfstabelle!R58),0,J37*(Hilfstabelle!R58-Hilfstabelle!Q58+1)+J37*K37+L37*IF(I37&lt;451,J$7,J$6)))</f>
        <v>0</v>
      </c>
      <c r="N37" s="302">
        <f>$C37*(IF(Hilfstabelle!$Q58="",1,IF(Hilfstabelle!$Q58="bis",Hilfstabelle!$R58/12,IF(Hilfstabelle!$Q58="ab",(12-Hilfstabelle!$R58+1)/12,((Hilfstabelle!R58+1)-Hilfstabelle!Q58)/12))))</f>
        <v>0</v>
      </c>
      <c r="O37" s="864"/>
      <c r="P37" s="303">
        <f>N37*O37</f>
        <v>0</v>
      </c>
      <c r="Q37" s="262" t="str">
        <f t="shared" si="4"/>
        <v/>
      </c>
      <c r="R37" s="262"/>
      <c r="S37" s="261"/>
      <c r="T37" s="984"/>
      <c r="U37" s="984"/>
      <c r="V37" s="984"/>
      <c r="W37" s="984"/>
      <c r="X37" s="984" t="str">
        <f t="shared" si="2"/>
        <v/>
      </c>
      <c r="Y37" s="984"/>
      <c r="Z37" s="780" t="str">
        <f>IF(AND(Hilfstabelle!$Q58="",Hilfstabelle!$R58=""),"",IF(OR(Hilfstabelle!$Q58="",Hilfstabelle!$R58="",Hilfstabelle!$Q58=0,Hilfstabelle!$R58=0,Hilfstabelle!$Q58&gt;Hilfstabelle!$R58),"ja",""))</f>
        <v/>
      </c>
      <c r="AA37" s="780" t="str">
        <f t="shared" si="3"/>
        <v/>
      </c>
      <c r="AB37" s="950"/>
      <c r="AC37" s="950"/>
      <c r="AD37" s="950"/>
      <c r="AE37" s="978"/>
      <c r="AF37" s="44"/>
      <c r="AG37" s="44"/>
      <c r="AH37" s="44"/>
      <c r="AI37" s="44"/>
      <c r="AJ37" s="44"/>
      <c r="AK37" s="44"/>
      <c r="AL37" s="44"/>
      <c r="AM37" s="44"/>
      <c r="AN37" s="44"/>
    </row>
    <row r="38" spans="1:40" ht="20.100000000000001" customHeight="1">
      <c r="A38" s="289">
        <f>IF(A37=11,12,24)</f>
        <v>12</v>
      </c>
      <c r="B38" s="861" t="s">
        <v>282</v>
      </c>
      <c r="C38" s="860"/>
      <c r="D38" s="991"/>
      <c r="E38" s="991"/>
      <c r="F38" s="805"/>
      <c r="G38" s="802"/>
      <c r="H38" s="802"/>
      <c r="I38" s="299">
        <f>IF(C38=0,0,IF(C38&gt;=1,IF(AND(OR(F38&gt;=1,G38&gt;=1), H38&gt;1),"Gehalt ???",C38*IF(F38="",H38,F38*G38*4.33))))</f>
        <v>0</v>
      </c>
      <c r="J38" s="300">
        <f>I38</f>
        <v>0</v>
      </c>
      <c r="K38" s="862"/>
      <c r="L38" s="804"/>
      <c r="M38" s="301">
        <f>IF(AND(Hilfstabelle!Q59="",Hilfstabelle!R59=""),J38*12+K38*J38+L38*IF(I38&lt;451,J$7,J$6),IF(OR(Hilfstabelle!Q59="",Hilfstabelle!R59="",Hilfstabelle!Q59=0,Hilfstabelle!R59=0,Hilfstabelle!Q59&gt;Hilfstabelle!R59),0,J38*(Hilfstabelle!R59-Hilfstabelle!Q59+1)+J38*K38+L38*IF(I38&lt;451,J$7,J$6)))</f>
        <v>0</v>
      </c>
      <c r="N38" s="302">
        <f>$C38*(IF(Hilfstabelle!$Q59="",1,IF(Hilfstabelle!$Q59="bis",Hilfstabelle!$R59/12,IF(Hilfstabelle!$Q59="ab",(12-Hilfstabelle!$R59+1)/12,((Hilfstabelle!R59+1)-Hilfstabelle!Q59)/12))))</f>
        <v>0</v>
      </c>
      <c r="O38" s="864"/>
      <c r="P38" s="303">
        <f>N38*O38</f>
        <v>0</v>
      </c>
      <c r="Q38" s="262" t="str">
        <f t="shared" si="4"/>
        <v/>
      </c>
      <c r="R38" s="262"/>
      <c r="S38" s="261"/>
      <c r="T38" s="984"/>
      <c r="U38" s="984"/>
      <c r="V38" s="984"/>
      <c r="W38" s="984"/>
      <c r="X38" s="984" t="str">
        <f t="shared" si="2"/>
        <v/>
      </c>
      <c r="Y38" s="984"/>
      <c r="Z38" s="780" t="str">
        <f>IF(AND(Hilfstabelle!$Q59="",Hilfstabelle!$R59=""),"",IF(OR(Hilfstabelle!$Q59="",Hilfstabelle!$R59="",Hilfstabelle!$Q59=0,Hilfstabelle!$R59=0,Hilfstabelle!$Q59&gt;Hilfstabelle!$R59),"ja",""))</f>
        <v/>
      </c>
      <c r="AA38" s="780" t="str">
        <f t="shared" si="3"/>
        <v/>
      </c>
      <c r="AB38" s="950"/>
      <c r="AC38" s="950"/>
      <c r="AD38" s="950"/>
      <c r="AE38" s="978"/>
      <c r="AF38" s="44"/>
      <c r="AG38" s="44"/>
      <c r="AH38" s="44"/>
      <c r="AI38" s="44"/>
      <c r="AJ38" s="44"/>
      <c r="AK38" s="44"/>
      <c r="AL38" s="44"/>
      <c r="AM38" s="44"/>
      <c r="AN38" s="44"/>
    </row>
    <row r="39" spans="1:40" s="15" customFormat="1" ht="20.100000000000001" customHeight="1">
      <c r="A39" s="309" t="s">
        <v>9</v>
      </c>
      <c r="B39" s="310"/>
      <c r="C39" s="311">
        <f>SUM(C15:C38)</f>
        <v>1</v>
      </c>
      <c r="D39" s="313"/>
      <c r="E39" s="313"/>
      <c r="F39" s="313"/>
      <c r="G39" s="314"/>
      <c r="H39" s="314"/>
      <c r="I39" s="315">
        <f t="shared" ref="I39:N39" si="7">SUM(I15:I38)</f>
        <v>0</v>
      </c>
      <c r="J39" s="315">
        <f t="shared" si="7"/>
        <v>0</v>
      </c>
      <c r="K39" s="316">
        <f t="shared" si="7"/>
        <v>0</v>
      </c>
      <c r="L39" s="316">
        <f t="shared" si="7"/>
        <v>0</v>
      </c>
      <c r="M39" s="317">
        <f t="shared" si="7"/>
        <v>0</v>
      </c>
      <c r="N39" s="313">
        <f t="shared" si="7"/>
        <v>1</v>
      </c>
      <c r="O39" s="313"/>
      <c r="P39" s="318">
        <f>SUM(P15:P38)</f>
        <v>0</v>
      </c>
      <c r="Q39" s="319"/>
      <c r="R39" s="319"/>
      <c r="S39" s="319"/>
      <c r="T39" s="985"/>
      <c r="U39" s="985"/>
      <c r="V39" s="985"/>
      <c r="W39" s="985"/>
      <c r="X39" s="985"/>
      <c r="Y39" s="985"/>
      <c r="Z39" s="985"/>
      <c r="AA39" s="988"/>
      <c r="AB39" s="988"/>
      <c r="AC39" s="988"/>
      <c r="AD39" s="988"/>
      <c r="AE39" s="982"/>
      <c r="AF39" s="45"/>
      <c r="AG39" s="45"/>
      <c r="AH39" s="45"/>
      <c r="AI39" s="45"/>
      <c r="AJ39" s="45"/>
      <c r="AK39" s="44"/>
      <c r="AL39" s="44"/>
      <c r="AM39" s="44"/>
      <c r="AN39" s="44"/>
    </row>
    <row r="40" spans="1:40" ht="20.7" customHeight="1">
      <c r="A40" s="256"/>
      <c r="B40" s="322"/>
      <c r="C40" s="257"/>
      <c r="D40" s="256"/>
      <c r="E40" s="256"/>
      <c r="F40" s="256"/>
      <c r="G40" s="256"/>
      <c r="H40" s="256"/>
      <c r="I40" s="256"/>
      <c r="J40" s="323" t="s">
        <v>16</v>
      </c>
      <c r="K40" s="324"/>
      <c r="L40" s="324"/>
      <c r="M40" s="806"/>
      <c r="N40" s="256"/>
      <c r="O40" s="256"/>
      <c r="P40" s="256"/>
      <c r="Q40" s="261"/>
      <c r="R40" s="261"/>
      <c r="S40" s="261"/>
      <c r="T40" s="984"/>
      <c r="U40" s="984"/>
      <c r="V40" s="984"/>
      <c r="W40" s="984"/>
      <c r="X40" s="985"/>
      <c r="Y40" s="985"/>
      <c r="Z40" s="984"/>
      <c r="AA40" s="950"/>
      <c r="AB40" s="950"/>
      <c r="AC40" s="950"/>
      <c r="AD40" s="950"/>
      <c r="AE40" s="44"/>
      <c r="AF40" s="44"/>
      <c r="AG40" s="44"/>
      <c r="AH40" s="44"/>
      <c r="AI40" s="44"/>
      <c r="AJ40" s="44"/>
      <c r="AK40" s="44"/>
      <c r="AL40" s="44"/>
      <c r="AM40" s="44"/>
      <c r="AN40" s="44"/>
    </row>
    <row r="41" spans="1:40" ht="20.7" customHeight="1" thickBot="1">
      <c r="A41" s="256"/>
      <c r="B41" s="256"/>
      <c r="C41" s="257"/>
      <c r="D41" s="256"/>
      <c r="E41" s="256"/>
      <c r="F41" s="256"/>
      <c r="G41" s="256"/>
      <c r="H41" s="256"/>
      <c r="I41" s="256"/>
      <c r="J41" s="325" t="s">
        <v>106</v>
      </c>
      <c r="K41" s="326"/>
      <c r="L41" s="326"/>
      <c r="M41" s="807"/>
      <c r="N41" s="256"/>
      <c r="O41" s="256"/>
      <c r="P41" s="256"/>
      <c r="Q41" s="261"/>
      <c r="R41" s="261"/>
      <c r="S41" s="261"/>
      <c r="T41" s="261"/>
      <c r="U41" s="261"/>
      <c r="V41" s="261"/>
      <c r="W41" s="261"/>
      <c r="X41" s="319"/>
      <c r="Y41" s="319"/>
      <c r="Z41" s="261"/>
      <c r="AA41" s="266"/>
      <c r="AB41" s="266"/>
      <c r="AC41" s="266"/>
      <c r="AD41" s="266"/>
      <c r="AE41" s="44"/>
      <c r="AF41" s="44"/>
      <c r="AG41" s="44"/>
      <c r="AH41" s="44"/>
      <c r="AI41" s="44"/>
      <c r="AJ41" s="44"/>
      <c r="AK41" s="44"/>
      <c r="AL41" s="44"/>
      <c r="AM41" s="44"/>
      <c r="AN41" s="44"/>
    </row>
    <row r="42" spans="1:40" ht="20.25" customHeight="1" thickTop="1" thickBot="1">
      <c r="A42" s="261"/>
      <c r="B42" s="261"/>
      <c r="C42" s="261"/>
      <c r="D42" s="261"/>
      <c r="E42" s="261"/>
      <c r="F42" s="261"/>
      <c r="G42" s="261"/>
      <c r="H42" s="261"/>
      <c r="I42" s="261"/>
      <c r="J42" s="327" t="s">
        <v>17</v>
      </c>
      <c r="K42" s="328"/>
      <c r="L42" s="328"/>
      <c r="M42" s="329">
        <f>ROUND(M39+M40+M41,-2)</f>
        <v>0</v>
      </c>
      <c r="N42" s="261"/>
      <c r="O42" s="261"/>
      <c r="P42" s="261"/>
      <c r="Q42" s="261"/>
      <c r="R42" s="261"/>
      <c r="S42" s="261"/>
      <c r="T42" s="261"/>
      <c r="U42" s="261"/>
      <c r="V42" s="261"/>
      <c r="W42" s="261"/>
      <c r="X42" s="319"/>
      <c r="Y42" s="319"/>
      <c r="Z42" s="261"/>
      <c r="AA42" s="266"/>
      <c r="AB42" s="266"/>
      <c r="AC42" s="266"/>
      <c r="AD42" s="266"/>
      <c r="AE42" s="44"/>
      <c r="AF42" s="44"/>
      <c r="AG42" s="44"/>
      <c r="AH42" s="44"/>
      <c r="AI42" s="44"/>
      <c r="AJ42" s="44"/>
      <c r="AK42" s="44"/>
      <c r="AL42" s="44"/>
      <c r="AM42" s="44"/>
      <c r="AN42" s="44"/>
    </row>
    <row r="43" spans="1:40" ht="20.25" hidden="1" customHeight="1" outlineLevel="1" thickTop="1">
      <c r="A43" s="261"/>
      <c r="B43" s="261"/>
      <c r="C43" s="261"/>
      <c r="D43" s="261"/>
      <c r="E43" s="261"/>
      <c r="F43" s="261"/>
      <c r="G43" s="261"/>
      <c r="H43" s="261"/>
      <c r="I43" s="261"/>
      <c r="J43" s="330" t="s">
        <v>182</v>
      </c>
      <c r="K43" s="256"/>
      <c r="L43" s="256"/>
      <c r="M43" s="331">
        <f>P39</f>
        <v>0</v>
      </c>
      <c r="N43" s="261"/>
      <c r="O43" s="261"/>
      <c r="P43" s="261"/>
      <c r="Q43" s="261"/>
      <c r="R43" s="261"/>
      <c r="S43" s="261"/>
      <c r="T43" s="261"/>
      <c r="U43" s="261"/>
      <c r="V43" s="261"/>
      <c r="W43" s="261"/>
      <c r="X43" s="319"/>
      <c r="Y43" s="319"/>
      <c r="Z43" s="261"/>
      <c r="AA43" s="266"/>
      <c r="AB43" s="266"/>
      <c r="AC43" s="266"/>
      <c r="AD43" s="266"/>
      <c r="AE43" s="44"/>
      <c r="AF43" s="44"/>
      <c r="AG43" s="44"/>
      <c r="AH43" s="44"/>
      <c r="AI43" s="44"/>
      <c r="AJ43" s="44"/>
      <c r="AK43" s="44"/>
      <c r="AL43" s="44"/>
      <c r="AM43" s="44"/>
      <c r="AN43" s="44"/>
    </row>
    <row r="44" spans="1:40" ht="20.25" hidden="1" customHeight="1" outlineLevel="1">
      <c r="A44" s="261"/>
      <c r="B44" s="261"/>
      <c r="C44" s="261"/>
      <c r="D44" s="261"/>
      <c r="E44" s="261"/>
      <c r="F44" s="261"/>
      <c r="G44" s="261"/>
      <c r="H44" s="261"/>
      <c r="I44" s="261"/>
      <c r="J44" s="989" t="s">
        <v>541</v>
      </c>
      <c r="K44" s="324"/>
      <c r="L44" s="324"/>
      <c r="M44" s="332">
        <f>Rentabilität!$H$22</f>
        <v>0</v>
      </c>
      <c r="N44" s="261"/>
      <c r="O44" s="261"/>
      <c r="P44" s="261"/>
      <c r="Q44" s="261"/>
      <c r="R44" s="261"/>
      <c r="S44" s="261"/>
      <c r="T44" s="261"/>
      <c r="U44" s="261"/>
      <c r="V44" s="261"/>
      <c r="W44" s="261"/>
      <c r="X44" s="319"/>
      <c r="Y44" s="319"/>
      <c r="Z44" s="261"/>
      <c r="AA44" s="266"/>
      <c r="AB44" s="266"/>
      <c r="AC44" s="266"/>
      <c r="AD44" s="266"/>
      <c r="AE44" s="44"/>
      <c r="AF44" s="44"/>
      <c r="AG44" s="44"/>
      <c r="AH44" s="44"/>
      <c r="AI44" s="44"/>
      <c r="AJ44" s="44"/>
      <c r="AK44" s="44"/>
      <c r="AL44" s="44"/>
      <c r="AM44" s="44"/>
      <c r="AN44" s="44"/>
    </row>
    <row r="45" spans="1:40" ht="20.7" hidden="1" customHeight="1" outlineLevel="1" thickBot="1">
      <c r="A45" s="261"/>
      <c r="B45" s="261"/>
      <c r="C45" s="261"/>
      <c r="D45" s="261"/>
      <c r="E45" s="261"/>
      <c r="F45" s="261"/>
      <c r="G45" s="261"/>
      <c r="H45" s="261"/>
      <c r="I45" s="261"/>
      <c r="J45" s="333" t="s">
        <v>185</v>
      </c>
      <c r="K45" s="334"/>
      <c r="L45" s="324"/>
      <c r="M45" s="332">
        <f>Rentabilität!$H$23</f>
        <v>0</v>
      </c>
      <c r="N45" s="261"/>
      <c r="O45" s="261"/>
      <c r="P45" s="261"/>
      <c r="Q45" s="261"/>
      <c r="R45" s="261"/>
      <c r="S45" s="261"/>
      <c r="T45" s="261"/>
      <c r="U45" s="261"/>
      <c r="V45" s="261"/>
      <c r="W45" s="261"/>
      <c r="X45" s="319"/>
      <c r="Y45" s="319"/>
      <c r="Z45" s="261"/>
      <c r="AA45" s="266"/>
      <c r="AB45" s="266"/>
      <c r="AC45" s="266"/>
      <c r="AD45" s="266"/>
      <c r="AE45" s="44"/>
      <c r="AF45" s="44"/>
      <c r="AG45" s="44"/>
      <c r="AH45" s="44"/>
      <c r="AI45" s="44"/>
      <c r="AJ45" s="44"/>
      <c r="AK45" s="44"/>
      <c r="AL45" s="44"/>
      <c r="AM45" s="44"/>
      <c r="AN45" s="44"/>
    </row>
    <row r="46" spans="1:40" ht="20.7" hidden="1" customHeight="1" outlineLevel="1" thickTop="1">
      <c r="A46" s="261"/>
      <c r="B46" s="261"/>
      <c r="C46" s="261"/>
      <c r="D46" s="261"/>
      <c r="E46" s="261"/>
      <c r="F46" s="261"/>
      <c r="G46" s="261"/>
      <c r="H46" s="261"/>
      <c r="I46" s="261"/>
      <c r="J46" s="335" t="s">
        <v>184</v>
      </c>
      <c r="K46" s="336"/>
      <c r="L46" s="336"/>
      <c r="M46" s="337" t="str">
        <f>IF((M44-M45)&lt;0,0,IF(M43=0,"",(M44-M45)/M43))</f>
        <v/>
      </c>
      <c r="N46" s="261"/>
      <c r="O46" s="261"/>
      <c r="P46" s="261"/>
      <c r="Q46" s="261"/>
      <c r="R46" s="261"/>
      <c r="S46" s="261"/>
      <c r="T46" s="261"/>
      <c r="U46" s="261"/>
      <c r="V46" s="261"/>
      <c r="W46" s="261"/>
      <c r="X46" s="319"/>
      <c r="Y46" s="319"/>
      <c r="Z46" s="261"/>
      <c r="AA46" s="266"/>
      <c r="AB46" s="266"/>
      <c r="AC46" s="266"/>
      <c r="AD46" s="266"/>
      <c r="AE46" s="44"/>
      <c r="AF46" s="44"/>
      <c r="AG46" s="44"/>
      <c r="AH46" s="44"/>
      <c r="AI46" s="44"/>
      <c r="AJ46" s="44"/>
      <c r="AK46" s="44"/>
      <c r="AL46" s="44"/>
      <c r="AM46" s="44"/>
      <c r="AN46" s="44"/>
    </row>
    <row r="47" spans="1:40" ht="20.7" hidden="1" customHeight="1" outlineLevel="1" thickBot="1">
      <c r="A47" s="261"/>
      <c r="B47" s="261"/>
      <c r="C47" s="261"/>
      <c r="D47" s="261"/>
      <c r="E47" s="261"/>
      <c r="F47" s="261"/>
      <c r="G47" s="261"/>
      <c r="H47" s="261"/>
      <c r="I47" s="261"/>
      <c r="J47" s="338" t="s">
        <v>183</v>
      </c>
      <c r="K47" s="339"/>
      <c r="L47" s="340"/>
      <c r="M47" s="341"/>
      <c r="N47" s="261"/>
      <c r="O47" s="261"/>
      <c r="P47" s="261"/>
      <c r="Q47" s="261"/>
      <c r="R47" s="261"/>
      <c r="S47" s="261"/>
      <c r="T47" s="261"/>
      <c r="U47" s="261"/>
      <c r="V47" s="261"/>
      <c r="W47" s="261"/>
      <c r="X47" s="319"/>
      <c r="Y47" s="319"/>
      <c r="Z47" s="261"/>
      <c r="AA47" s="266"/>
      <c r="AB47" s="266"/>
      <c r="AC47" s="266"/>
      <c r="AD47" s="266"/>
      <c r="AE47" s="44"/>
      <c r="AF47" s="44"/>
      <c r="AG47" s="44"/>
      <c r="AH47" s="44"/>
      <c r="AI47" s="44"/>
      <c r="AJ47" s="44"/>
      <c r="AK47" s="44"/>
      <c r="AL47" s="44"/>
      <c r="AM47" s="44"/>
      <c r="AN47" s="44"/>
    </row>
    <row r="48" spans="1:40" ht="20.7" customHeight="1" collapsed="1" thickTop="1">
      <c r="A48" s="256"/>
      <c r="B48" s="256"/>
      <c r="C48" s="257"/>
      <c r="D48" s="256"/>
      <c r="E48" s="256"/>
      <c r="F48" s="256"/>
      <c r="G48" s="256"/>
      <c r="H48" s="256"/>
      <c r="I48" s="256"/>
      <c r="J48" s="256"/>
      <c r="K48" s="256"/>
      <c r="L48" s="256"/>
      <c r="M48" s="256"/>
      <c r="N48" s="256"/>
      <c r="O48" s="256"/>
      <c r="P48" s="256"/>
      <c r="Q48" s="261"/>
      <c r="R48" s="261"/>
      <c r="S48" s="261"/>
      <c r="T48" s="261"/>
      <c r="U48" s="261"/>
      <c r="V48" s="261"/>
      <c r="W48" s="261"/>
      <c r="X48" s="319"/>
      <c r="Y48" s="319"/>
      <c r="Z48" s="261"/>
      <c r="AA48" s="266"/>
      <c r="AB48" s="266"/>
      <c r="AC48" s="266"/>
      <c r="AD48" s="266"/>
      <c r="AE48" s="44"/>
      <c r="AF48" s="44"/>
      <c r="AG48" s="44"/>
      <c r="AH48" s="44"/>
      <c r="AI48" s="44"/>
      <c r="AJ48" s="44"/>
      <c r="AK48" s="44"/>
      <c r="AL48" s="44"/>
      <c r="AM48" s="44"/>
      <c r="AN48" s="44"/>
    </row>
    <row r="49" spans="1:40" ht="20.7" customHeight="1">
      <c r="A49" s="261"/>
      <c r="B49" s="261"/>
      <c r="C49" s="342"/>
      <c r="D49" s="261"/>
      <c r="E49" s="261"/>
      <c r="F49" s="261"/>
      <c r="G49" s="261"/>
      <c r="H49" s="261"/>
      <c r="I49" s="261"/>
      <c r="J49" s="261"/>
      <c r="K49" s="261"/>
      <c r="L49" s="261"/>
      <c r="M49" s="256"/>
      <c r="N49" s="256"/>
      <c r="O49" s="256"/>
      <c r="P49" s="256"/>
      <c r="Q49" s="261"/>
      <c r="R49" s="261"/>
      <c r="S49" s="261"/>
      <c r="T49" s="261"/>
      <c r="U49" s="261"/>
      <c r="V49" s="261"/>
      <c r="W49" s="261"/>
      <c r="X49" s="319"/>
      <c r="Y49" s="319"/>
      <c r="Z49" s="261"/>
      <c r="AA49" s="266"/>
      <c r="AB49" s="266"/>
      <c r="AC49" s="266"/>
      <c r="AD49" s="266"/>
      <c r="AE49" s="44"/>
      <c r="AF49" s="44"/>
      <c r="AG49" s="44"/>
      <c r="AH49" s="44"/>
      <c r="AI49" s="44"/>
      <c r="AJ49" s="44"/>
      <c r="AK49" s="44"/>
      <c r="AL49" s="44"/>
      <c r="AM49" s="44"/>
      <c r="AN49" s="44"/>
    </row>
    <row r="50" spans="1:40" ht="20.7" customHeight="1">
      <c r="A50" s="261"/>
      <c r="B50" s="261"/>
      <c r="C50" s="342"/>
      <c r="D50" s="261"/>
      <c r="E50" s="261"/>
      <c r="F50" s="261"/>
      <c r="G50" s="261"/>
      <c r="H50" s="261"/>
      <c r="I50" s="261"/>
      <c r="J50" s="261"/>
      <c r="K50" s="261"/>
      <c r="L50" s="261"/>
      <c r="M50" s="256"/>
      <c r="N50" s="256"/>
      <c r="O50" s="256"/>
      <c r="P50" s="256"/>
      <c r="Q50" s="261"/>
      <c r="R50" s="261"/>
      <c r="S50" s="261"/>
      <c r="T50" s="261"/>
      <c r="U50" s="261"/>
      <c r="V50" s="261"/>
      <c r="W50" s="261"/>
      <c r="X50" s="261"/>
      <c r="Y50" s="261"/>
      <c r="Z50" s="261"/>
      <c r="AA50" s="266"/>
      <c r="AB50" s="266"/>
      <c r="AC50" s="266"/>
      <c r="AD50" s="266"/>
      <c r="AE50" s="44"/>
      <c r="AF50" s="44"/>
      <c r="AG50" s="44"/>
      <c r="AH50" s="44"/>
      <c r="AI50" s="44"/>
      <c r="AJ50" s="44"/>
      <c r="AK50" s="44"/>
      <c r="AL50" s="44"/>
      <c r="AM50" s="44"/>
      <c r="AN50" s="44"/>
    </row>
    <row r="51" spans="1:40" ht="20.7" customHeight="1">
      <c r="A51" s="261"/>
      <c r="B51" s="261"/>
      <c r="C51" s="342"/>
      <c r="D51" s="261"/>
      <c r="E51" s="261"/>
      <c r="F51" s="261"/>
      <c r="G51" s="261"/>
      <c r="H51" s="261"/>
      <c r="I51" s="261"/>
      <c r="J51" s="261"/>
      <c r="K51" s="261"/>
      <c r="L51" s="261"/>
      <c r="M51" s="256"/>
      <c r="N51" s="256"/>
      <c r="O51" s="256"/>
      <c r="P51" s="256"/>
      <c r="Q51" s="261"/>
      <c r="R51" s="261"/>
      <c r="S51" s="261"/>
      <c r="T51" s="261"/>
      <c r="U51" s="261"/>
      <c r="V51" s="261"/>
      <c r="W51" s="261"/>
      <c r="X51" s="261"/>
      <c r="Y51" s="261"/>
      <c r="Z51" s="261"/>
      <c r="AA51" s="266"/>
      <c r="AB51" s="266"/>
      <c r="AC51" s="266"/>
      <c r="AD51" s="266"/>
      <c r="AE51" s="44"/>
      <c r="AF51" s="44"/>
      <c r="AG51" s="44"/>
      <c r="AH51" s="44"/>
      <c r="AI51" s="44"/>
      <c r="AJ51" s="44"/>
      <c r="AK51" s="44"/>
      <c r="AL51" s="44"/>
      <c r="AM51" s="44"/>
      <c r="AN51" s="44"/>
    </row>
    <row r="52" spans="1:40" ht="20.7" customHeight="1">
      <c r="A52" s="261"/>
      <c r="B52" s="261"/>
      <c r="C52" s="342"/>
      <c r="D52" s="261"/>
      <c r="E52" s="261"/>
      <c r="F52" s="261"/>
      <c r="G52" s="261"/>
      <c r="H52" s="261"/>
      <c r="I52" s="261"/>
      <c r="J52" s="261"/>
      <c r="K52" s="261"/>
      <c r="L52" s="261"/>
      <c r="M52" s="256"/>
      <c r="N52" s="256"/>
      <c r="O52" s="256"/>
      <c r="P52" s="256"/>
      <c r="Q52" s="261"/>
      <c r="R52" s="261"/>
      <c r="S52" s="261"/>
      <c r="T52" s="261"/>
      <c r="U52" s="261"/>
      <c r="V52" s="261"/>
      <c r="W52" s="261"/>
      <c r="X52" s="261"/>
      <c r="Y52" s="261"/>
      <c r="Z52" s="261"/>
      <c r="AA52" s="266"/>
      <c r="AB52" s="266"/>
      <c r="AC52" s="266"/>
      <c r="AD52" s="266"/>
      <c r="AE52" s="44"/>
      <c r="AF52" s="44"/>
      <c r="AG52" s="44"/>
      <c r="AH52" s="44"/>
      <c r="AI52" s="44"/>
      <c r="AJ52" s="44"/>
      <c r="AK52" s="44"/>
      <c r="AL52" s="44"/>
      <c r="AM52" s="44"/>
      <c r="AN52" s="44"/>
    </row>
    <row r="53" spans="1:40" ht="20.7" customHeight="1">
      <c r="A53" s="261"/>
      <c r="B53" s="261"/>
      <c r="C53" s="342"/>
      <c r="D53" s="261"/>
      <c r="E53" s="261"/>
      <c r="F53" s="261"/>
      <c r="G53" s="261"/>
      <c r="H53" s="261"/>
      <c r="I53" s="261"/>
      <c r="J53" s="261"/>
      <c r="K53" s="261"/>
      <c r="L53" s="261"/>
      <c r="M53" s="256"/>
      <c r="N53" s="256"/>
      <c r="O53" s="256"/>
      <c r="P53" s="256"/>
      <c r="Q53" s="261"/>
      <c r="R53" s="261"/>
      <c r="S53" s="261"/>
      <c r="T53" s="261"/>
      <c r="U53" s="261"/>
      <c r="V53" s="261"/>
      <c r="W53" s="261"/>
      <c r="X53" s="261"/>
      <c r="Y53" s="261"/>
      <c r="Z53" s="261"/>
      <c r="AA53" s="266"/>
      <c r="AB53" s="266"/>
      <c r="AC53" s="266"/>
      <c r="AD53" s="266"/>
      <c r="AE53" s="44"/>
      <c r="AF53" s="44"/>
      <c r="AG53" s="44"/>
      <c r="AH53" s="44"/>
      <c r="AI53" s="44"/>
      <c r="AJ53" s="44"/>
      <c r="AK53" s="44"/>
      <c r="AL53" s="44"/>
      <c r="AM53" s="44"/>
      <c r="AN53" s="44"/>
    </row>
    <row r="54" spans="1:40" ht="20.7" customHeight="1">
      <c r="A54" s="261"/>
      <c r="B54" s="261"/>
      <c r="C54" s="342"/>
      <c r="D54" s="261"/>
      <c r="E54" s="261"/>
      <c r="F54" s="261"/>
      <c r="G54" s="261"/>
      <c r="H54" s="261"/>
      <c r="I54" s="261"/>
      <c r="J54" s="261"/>
      <c r="K54" s="261"/>
      <c r="L54" s="261"/>
      <c r="M54" s="256"/>
      <c r="N54" s="256"/>
      <c r="O54" s="256"/>
      <c r="P54" s="256"/>
      <c r="Q54" s="261"/>
      <c r="R54" s="261"/>
      <c r="S54" s="261"/>
      <c r="T54" s="261"/>
      <c r="U54" s="261"/>
      <c r="V54" s="261"/>
      <c r="W54" s="261"/>
      <c r="X54" s="261"/>
      <c r="Y54" s="261"/>
      <c r="Z54" s="261"/>
      <c r="AA54" s="266"/>
      <c r="AB54" s="266"/>
      <c r="AC54" s="266"/>
      <c r="AD54" s="266"/>
      <c r="AE54" s="44"/>
      <c r="AF54" s="44"/>
      <c r="AG54" s="44"/>
      <c r="AH54" s="44"/>
      <c r="AI54" s="44"/>
      <c r="AJ54" s="44"/>
      <c r="AK54" s="44"/>
      <c r="AL54" s="44"/>
      <c r="AM54" s="44"/>
      <c r="AN54" s="44"/>
    </row>
    <row r="55" spans="1:40">
      <c r="A55" s="261"/>
      <c r="B55" s="261"/>
      <c r="C55" s="342"/>
      <c r="D55" s="261"/>
      <c r="E55" s="261"/>
      <c r="F55" s="261"/>
      <c r="G55" s="261"/>
      <c r="H55" s="261"/>
      <c r="I55" s="261"/>
      <c r="J55" s="261"/>
      <c r="K55" s="261"/>
      <c r="L55" s="261"/>
      <c r="M55" s="256"/>
      <c r="N55" s="256"/>
      <c r="O55" s="256"/>
      <c r="P55" s="256"/>
      <c r="Q55" s="261"/>
      <c r="R55" s="261"/>
      <c r="S55" s="261"/>
      <c r="T55" s="261"/>
      <c r="U55" s="261"/>
      <c r="V55" s="261"/>
      <c r="W55" s="261"/>
      <c r="X55" s="261"/>
      <c r="Y55" s="261"/>
      <c r="Z55" s="261"/>
      <c r="AA55" s="266"/>
      <c r="AB55" s="266"/>
      <c r="AC55" s="266"/>
      <c r="AD55" s="266"/>
      <c r="AE55" s="44"/>
      <c r="AF55" s="44"/>
      <c r="AG55" s="44"/>
      <c r="AH55" s="44"/>
      <c r="AI55" s="44"/>
      <c r="AJ55" s="44"/>
      <c r="AK55" s="44"/>
      <c r="AL55" s="44"/>
      <c r="AM55" s="44"/>
      <c r="AN55" s="44"/>
    </row>
    <row r="56" spans="1:40">
      <c r="A56" s="261"/>
      <c r="B56" s="261"/>
      <c r="C56" s="342"/>
      <c r="D56" s="261"/>
      <c r="E56" s="261"/>
      <c r="F56" s="261"/>
      <c r="G56" s="261"/>
      <c r="H56" s="261"/>
      <c r="I56" s="261"/>
      <c r="J56" s="261"/>
      <c r="K56" s="261"/>
      <c r="L56" s="261"/>
      <c r="M56" s="256"/>
      <c r="N56" s="256"/>
      <c r="O56" s="256"/>
      <c r="P56" s="256"/>
      <c r="Q56" s="261"/>
      <c r="R56" s="261"/>
      <c r="S56" s="261"/>
      <c r="T56" s="261"/>
      <c r="U56" s="261"/>
      <c r="V56" s="261"/>
      <c r="W56" s="261"/>
      <c r="X56" s="261"/>
      <c r="Y56" s="261"/>
      <c r="Z56" s="261"/>
      <c r="AA56" s="266"/>
      <c r="AB56" s="266"/>
      <c r="AC56" s="266"/>
      <c r="AD56" s="266"/>
      <c r="AE56" s="44"/>
      <c r="AF56" s="44"/>
      <c r="AG56" s="44"/>
      <c r="AH56" s="44"/>
      <c r="AI56" s="44"/>
      <c r="AJ56" s="44"/>
      <c r="AK56" s="44"/>
      <c r="AL56" s="44"/>
      <c r="AM56" s="44"/>
      <c r="AN56" s="44"/>
    </row>
    <row r="57" spans="1:40">
      <c r="A57" s="261"/>
      <c r="B57" s="261"/>
      <c r="C57" s="342"/>
      <c r="D57" s="261"/>
      <c r="E57" s="261"/>
      <c r="F57" s="261"/>
      <c r="G57" s="261"/>
      <c r="H57" s="261"/>
      <c r="I57" s="261"/>
      <c r="J57" s="261"/>
      <c r="K57" s="261"/>
      <c r="L57" s="261"/>
      <c r="M57" s="256"/>
      <c r="N57" s="256"/>
      <c r="O57" s="256"/>
      <c r="P57" s="256"/>
      <c r="Q57" s="261"/>
      <c r="R57" s="261"/>
      <c r="S57" s="261"/>
      <c r="T57" s="261"/>
      <c r="U57" s="261"/>
      <c r="V57" s="261"/>
      <c r="W57" s="261"/>
      <c r="X57" s="261"/>
      <c r="Y57" s="261"/>
      <c r="Z57" s="261"/>
      <c r="AA57" s="266"/>
      <c r="AB57" s="266"/>
      <c r="AC57" s="266"/>
      <c r="AD57" s="266"/>
      <c r="AE57" s="44"/>
      <c r="AF57" s="44"/>
      <c r="AG57" s="44"/>
      <c r="AH57" s="44"/>
      <c r="AI57" s="44"/>
      <c r="AJ57" s="44"/>
      <c r="AK57" s="44"/>
      <c r="AL57" s="44"/>
      <c r="AM57" s="44"/>
      <c r="AN57" s="44"/>
    </row>
    <row r="58" spans="1:40">
      <c r="A58" s="261"/>
      <c r="B58" s="261"/>
      <c r="C58" s="342"/>
      <c r="D58" s="261"/>
      <c r="E58" s="261"/>
      <c r="F58" s="261"/>
      <c r="G58" s="261"/>
      <c r="H58" s="261"/>
      <c r="I58" s="261"/>
      <c r="J58" s="261"/>
      <c r="K58" s="261"/>
      <c r="L58" s="261"/>
      <c r="M58" s="256"/>
      <c r="N58" s="256"/>
      <c r="O58" s="256"/>
      <c r="P58" s="256"/>
      <c r="Q58" s="261"/>
      <c r="R58" s="261"/>
      <c r="S58" s="261"/>
      <c r="T58" s="261"/>
      <c r="U58" s="261"/>
      <c r="V58" s="261"/>
      <c r="W58" s="261"/>
      <c r="X58" s="261"/>
      <c r="Y58" s="261"/>
      <c r="Z58" s="261"/>
      <c r="AA58" s="266"/>
      <c r="AB58" s="266"/>
      <c r="AC58" s="266"/>
      <c r="AD58" s="266"/>
      <c r="AE58" s="44"/>
      <c r="AF58" s="44"/>
      <c r="AG58" s="44"/>
      <c r="AH58" s="44"/>
      <c r="AI58" s="44"/>
      <c r="AJ58" s="44"/>
      <c r="AK58" s="44"/>
      <c r="AL58" s="44"/>
      <c r="AM58" s="44"/>
      <c r="AN58" s="44"/>
    </row>
    <row r="59" spans="1:40">
      <c r="A59" s="261"/>
      <c r="B59" s="261"/>
      <c r="C59" s="342"/>
      <c r="D59" s="261"/>
      <c r="E59" s="261"/>
      <c r="F59" s="261"/>
      <c r="G59" s="261"/>
      <c r="H59" s="261"/>
      <c r="I59" s="261"/>
      <c r="J59" s="261"/>
      <c r="K59" s="261"/>
      <c r="L59" s="261"/>
      <c r="M59" s="256"/>
      <c r="N59" s="256"/>
      <c r="O59" s="256"/>
      <c r="P59" s="256"/>
      <c r="Q59" s="261"/>
      <c r="R59" s="261"/>
      <c r="S59" s="261"/>
      <c r="T59" s="261"/>
      <c r="U59" s="261"/>
      <c r="V59" s="261"/>
      <c r="W59" s="261"/>
      <c r="X59" s="261"/>
      <c r="Y59" s="261"/>
      <c r="Z59" s="261"/>
      <c r="AA59" s="266"/>
      <c r="AB59" s="266"/>
      <c r="AC59" s="266"/>
      <c r="AD59" s="266"/>
      <c r="AE59" s="44"/>
      <c r="AF59" s="44"/>
      <c r="AG59" s="44"/>
      <c r="AH59" s="44"/>
      <c r="AI59" s="44"/>
      <c r="AJ59" s="44"/>
      <c r="AK59" s="44"/>
      <c r="AL59" s="44"/>
      <c r="AM59" s="44"/>
      <c r="AN59" s="44"/>
    </row>
    <row r="60" spans="1:40">
      <c r="A60" s="261"/>
      <c r="B60" s="261"/>
      <c r="C60" s="342"/>
      <c r="D60" s="261"/>
      <c r="E60" s="261"/>
      <c r="F60" s="261"/>
      <c r="G60" s="261"/>
      <c r="H60" s="261"/>
      <c r="I60" s="261"/>
      <c r="J60" s="261"/>
      <c r="K60" s="261"/>
      <c r="L60" s="261"/>
      <c r="M60" s="256"/>
      <c r="N60" s="256"/>
      <c r="O60" s="256"/>
      <c r="P60" s="256"/>
      <c r="Q60" s="261"/>
      <c r="R60" s="261"/>
      <c r="S60" s="261"/>
      <c r="T60" s="261"/>
      <c r="U60" s="261"/>
      <c r="V60" s="261"/>
      <c r="W60" s="261"/>
      <c r="X60" s="261"/>
      <c r="Y60" s="261"/>
      <c r="Z60" s="261"/>
      <c r="AA60" s="266"/>
      <c r="AB60" s="266"/>
      <c r="AC60" s="266"/>
      <c r="AD60" s="266"/>
      <c r="AE60" s="44"/>
      <c r="AF60" s="44"/>
      <c r="AG60" s="44"/>
      <c r="AH60" s="44"/>
      <c r="AI60" s="44"/>
      <c r="AJ60" s="44"/>
      <c r="AK60" s="44"/>
      <c r="AL60" s="44"/>
      <c r="AM60" s="44"/>
      <c r="AN60" s="44"/>
    </row>
    <row r="61" spans="1:40">
      <c r="A61" s="261"/>
      <c r="B61" s="261"/>
      <c r="C61" s="342"/>
      <c r="D61" s="261"/>
      <c r="E61" s="261"/>
      <c r="F61" s="261"/>
      <c r="G61" s="261"/>
      <c r="H61" s="261"/>
      <c r="I61" s="261"/>
      <c r="J61" s="261"/>
      <c r="K61" s="261"/>
      <c r="L61" s="261"/>
      <c r="M61" s="256"/>
      <c r="N61" s="256"/>
      <c r="O61" s="256"/>
      <c r="P61" s="256"/>
      <c r="Q61" s="261"/>
      <c r="R61" s="261"/>
      <c r="S61" s="261"/>
      <c r="T61" s="261"/>
      <c r="U61" s="261"/>
      <c r="V61" s="261"/>
      <c r="W61" s="261"/>
      <c r="X61" s="261"/>
      <c r="Y61" s="261"/>
      <c r="Z61" s="261"/>
      <c r="AA61" s="266"/>
      <c r="AB61" s="266"/>
      <c r="AC61" s="266"/>
      <c r="AD61" s="266"/>
      <c r="AE61" s="44"/>
      <c r="AF61" s="44"/>
      <c r="AG61" s="44"/>
      <c r="AH61" s="44"/>
      <c r="AI61" s="44"/>
      <c r="AJ61" s="44"/>
      <c r="AK61" s="44"/>
      <c r="AL61" s="44"/>
      <c r="AM61" s="44"/>
      <c r="AN61" s="44"/>
    </row>
    <row r="62" spans="1:40">
      <c r="A62" s="261"/>
      <c r="B62" s="261"/>
      <c r="C62" s="342"/>
      <c r="D62" s="261"/>
      <c r="E62" s="261"/>
      <c r="F62" s="261"/>
      <c r="G62" s="261"/>
      <c r="H62" s="261"/>
      <c r="I62" s="261"/>
      <c r="J62" s="261"/>
      <c r="K62" s="261"/>
      <c r="L62" s="261"/>
      <c r="M62" s="256"/>
      <c r="N62" s="256"/>
      <c r="O62" s="256"/>
      <c r="P62" s="256"/>
      <c r="Q62" s="261"/>
      <c r="R62" s="261"/>
      <c r="S62" s="261"/>
      <c r="T62" s="261"/>
      <c r="U62" s="261"/>
      <c r="V62" s="261"/>
      <c r="W62" s="261"/>
      <c r="X62" s="261"/>
      <c r="Y62" s="261"/>
      <c r="Z62" s="261"/>
      <c r="AA62" s="266"/>
      <c r="AB62" s="266"/>
      <c r="AC62" s="266"/>
      <c r="AD62" s="266"/>
      <c r="AE62" s="44"/>
      <c r="AF62" s="44"/>
      <c r="AG62" s="44"/>
      <c r="AH62" s="44"/>
      <c r="AI62" s="44"/>
      <c r="AJ62" s="44"/>
      <c r="AK62" s="44"/>
      <c r="AL62" s="44"/>
      <c r="AM62" s="44"/>
      <c r="AN62" s="44"/>
    </row>
    <row r="63" spans="1:40">
      <c r="A63" s="261"/>
      <c r="B63" s="261"/>
      <c r="C63" s="342"/>
      <c r="D63" s="261"/>
      <c r="E63" s="261"/>
      <c r="F63" s="261"/>
      <c r="G63" s="261"/>
      <c r="H63" s="261"/>
      <c r="I63" s="261"/>
      <c r="J63" s="261"/>
      <c r="K63" s="261"/>
      <c r="L63" s="261"/>
      <c r="M63" s="256"/>
      <c r="N63" s="256"/>
      <c r="O63" s="256"/>
      <c r="P63" s="256"/>
      <c r="Q63" s="261"/>
      <c r="R63" s="261"/>
      <c r="S63" s="261"/>
      <c r="T63" s="261"/>
      <c r="U63" s="261"/>
      <c r="V63" s="261"/>
      <c r="W63" s="261"/>
      <c r="X63" s="261"/>
      <c r="Y63" s="261"/>
      <c r="Z63" s="261"/>
      <c r="AA63" s="266"/>
      <c r="AB63" s="266"/>
      <c r="AC63" s="266"/>
      <c r="AD63" s="266"/>
      <c r="AE63" s="44"/>
      <c r="AF63" s="44"/>
      <c r="AG63" s="44"/>
      <c r="AH63" s="44"/>
      <c r="AI63" s="44"/>
      <c r="AJ63" s="44"/>
      <c r="AK63" s="44"/>
      <c r="AL63" s="44"/>
      <c r="AM63" s="44"/>
      <c r="AN63" s="44"/>
    </row>
    <row r="64" spans="1:40">
      <c r="A64" s="261"/>
      <c r="B64" s="261"/>
      <c r="C64" s="342"/>
      <c r="D64" s="261"/>
      <c r="E64" s="261"/>
      <c r="F64" s="261"/>
      <c r="G64" s="261"/>
      <c r="H64" s="261"/>
      <c r="I64" s="261"/>
      <c r="J64" s="261"/>
      <c r="K64" s="261"/>
      <c r="L64" s="261"/>
      <c r="M64" s="256"/>
      <c r="N64" s="256"/>
      <c r="O64" s="256"/>
      <c r="P64" s="256"/>
      <c r="Q64" s="261"/>
      <c r="R64" s="261"/>
      <c r="S64" s="261"/>
      <c r="T64" s="261"/>
      <c r="U64" s="261"/>
      <c r="V64" s="261"/>
      <c r="W64" s="261"/>
      <c r="X64" s="261"/>
      <c r="Y64" s="261"/>
      <c r="Z64" s="261"/>
      <c r="AA64" s="266"/>
      <c r="AB64" s="266"/>
      <c r="AC64" s="266"/>
      <c r="AD64" s="266"/>
      <c r="AE64" s="44"/>
      <c r="AF64" s="44"/>
      <c r="AG64" s="44"/>
      <c r="AH64" s="44"/>
      <c r="AI64" s="44"/>
      <c r="AJ64" s="44"/>
      <c r="AK64" s="44"/>
      <c r="AL64" s="44"/>
      <c r="AM64" s="44"/>
      <c r="AN64" s="44"/>
    </row>
    <row r="65" spans="1:40">
      <c r="A65" s="261"/>
      <c r="B65" s="261"/>
      <c r="C65" s="342"/>
      <c r="D65" s="261"/>
      <c r="E65" s="261"/>
      <c r="F65" s="261"/>
      <c r="G65" s="261"/>
      <c r="H65" s="261"/>
      <c r="I65" s="261"/>
      <c r="J65" s="261"/>
      <c r="K65" s="261"/>
      <c r="L65" s="261"/>
      <c r="M65" s="256"/>
      <c r="N65" s="256"/>
      <c r="O65" s="256"/>
      <c r="P65" s="256"/>
      <c r="Q65" s="261"/>
      <c r="R65" s="261"/>
      <c r="S65" s="261"/>
      <c r="T65" s="261"/>
      <c r="U65" s="261"/>
      <c r="V65" s="261"/>
      <c r="W65" s="261"/>
      <c r="X65" s="261"/>
      <c r="Y65" s="261"/>
      <c r="Z65" s="261"/>
      <c r="AA65" s="266"/>
      <c r="AB65" s="266"/>
      <c r="AC65" s="266"/>
      <c r="AD65" s="266"/>
      <c r="AE65" s="44"/>
      <c r="AF65" s="44"/>
      <c r="AG65" s="44"/>
      <c r="AH65" s="44"/>
      <c r="AI65" s="44"/>
      <c r="AJ65" s="44"/>
      <c r="AK65" s="44"/>
      <c r="AL65" s="44"/>
      <c r="AM65" s="44"/>
      <c r="AN65" s="44"/>
    </row>
    <row r="66" spans="1:40">
      <c r="A66" s="261"/>
      <c r="B66" s="261"/>
      <c r="C66" s="342"/>
      <c r="D66" s="261"/>
      <c r="E66" s="261"/>
      <c r="F66" s="261"/>
      <c r="G66" s="261"/>
      <c r="H66" s="261"/>
      <c r="I66" s="261"/>
      <c r="J66" s="261"/>
      <c r="K66" s="261"/>
      <c r="L66" s="261"/>
      <c r="M66" s="256"/>
      <c r="N66" s="256"/>
      <c r="O66" s="256"/>
      <c r="P66" s="256"/>
      <c r="Q66" s="261"/>
      <c r="R66" s="261"/>
      <c r="S66" s="261"/>
      <c r="T66" s="261"/>
      <c r="U66" s="261"/>
      <c r="V66" s="261"/>
      <c r="W66" s="261"/>
      <c r="X66" s="261"/>
      <c r="Y66" s="261"/>
      <c r="Z66" s="261"/>
      <c r="AA66" s="266"/>
      <c r="AB66" s="266"/>
      <c r="AC66" s="266"/>
      <c r="AD66" s="266"/>
      <c r="AE66" s="44"/>
      <c r="AF66" s="44"/>
      <c r="AG66" s="44"/>
      <c r="AH66" s="44"/>
      <c r="AI66" s="44"/>
      <c r="AJ66" s="44"/>
      <c r="AK66" s="44"/>
      <c r="AL66" s="44"/>
      <c r="AM66" s="44"/>
      <c r="AN66" s="44"/>
    </row>
    <row r="67" spans="1:40">
      <c r="A67" s="261"/>
      <c r="B67" s="261"/>
      <c r="C67" s="342"/>
      <c r="D67" s="261"/>
      <c r="E67" s="261"/>
      <c r="F67" s="261"/>
      <c r="G67" s="261"/>
      <c r="H67" s="261"/>
      <c r="I67" s="261"/>
      <c r="J67" s="261"/>
      <c r="K67" s="261"/>
      <c r="L67" s="261"/>
      <c r="M67" s="256"/>
      <c r="N67" s="256"/>
      <c r="O67" s="256"/>
      <c r="P67" s="256"/>
      <c r="Q67" s="261"/>
      <c r="R67" s="261"/>
      <c r="S67" s="261"/>
      <c r="T67" s="261"/>
      <c r="U67" s="261"/>
      <c r="V67" s="261"/>
      <c r="W67" s="261"/>
      <c r="X67" s="261"/>
      <c r="Y67" s="261"/>
      <c r="Z67" s="261"/>
      <c r="AA67" s="266"/>
      <c r="AB67" s="266"/>
      <c r="AC67" s="266"/>
      <c r="AD67" s="266"/>
      <c r="AE67" s="44"/>
      <c r="AF67" s="44"/>
      <c r="AG67" s="44"/>
      <c r="AH67" s="44"/>
      <c r="AI67" s="44"/>
      <c r="AJ67" s="44"/>
      <c r="AK67" s="44"/>
      <c r="AL67" s="44"/>
      <c r="AM67" s="44"/>
      <c r="AN67" s="44"/>
    </row>
    <row r="68" spans="1:40">
      <c r="A68" s="261"/>
      <c r="B68" s="261"/>
      <c r="C68" s="342"/>
      <c r="D68" s="261"/>
      <c r="E68" s="261"/>
      <c r="F68" s="261"/>
      <c r="G68" s="261"/>
      <c r="H68" s="261"/>
      <c r="I68" s="261"/>
      <c r="J68" s="261"/>
      <c r="K68" s="261"/>
      <c r="L68" s="261"/>
      <c r="M68" s="256"/>
      <c r="N68" s="256"/>
      <c r="O68" s="256"/>
      <c r="P68" s="256"/>
      <c r="Q68" s="261"/>
      <c r="R68" s="261"/>
      <c r="S68" s="261"/>
      <c r="T68" s="261"/>
      <c r="U68" s="261"/>
      <c r="V68" s="261"/>
      <c r="W68" s="261"/>
      <c r="X68" s="261"/>
      <c r="Y68" s="261"/>
      <c r="Z68" s="261"/>
      <c r="AA68" s="266"/>
      <c r="AB68" s="266"/>
      <c r="AC68" s="266"/>
      <c r="AD68" s="266"/>
      <c r="AE68" s="44"/>
      <c r="AF68" s="44"/>
      <c r="AG68" s="44"/>
      <c r="AH68" s="44"/>
      <c r="AI68" s="44"/>
      <c r="AJ68" s="44"/>
      <c r="AK68" s="44"/>
      <c r="AL68" s="44"/>
      <c r="AM68" s="44"/>
      <c r="AN68" s="44"/>
    </row>
    <row r="69" spans="1:40">
      <c r="A69" s="261"/>
      <c r="B69" s="261"/>
      <c r="C69" s="342"/>
      <c r="D69" s="261"/>
      <c r="E69" s="261"/>
      <c r="F69" s="261"/>
      <c r="G69" s="261"/>
      <c r="H69" s="261"/>
      <c r="I69" s="261"/>
      <c r="J69" s="261"/>
      <c r="K69" s="261"/>
      <c r="L69" s="261"/>
      <c r="M69" s="256"/>
      <c r="N69" s="256"/>
      <c r="O69" s="256"/>
      <c r="P69" s="256"/>
      <c r="Q69" s="261"/>
      <c r="R69" s="261"/>
      <c r="S69" s="261"/>
      <c r="T69" s="261"/>
      <c r="U69" s="261"/>
      <c r="V69" s="261"/>
      <c r="W69" s="261"/>
      <c r="X69" s="261"/>
      <c r="Y69" s="261"/>
      <c r="Z69" s="261"/>
      <c r="AA69" s="266"/>
      <c r="AB69" s="266"/>
      <c r="AC69" s="266"/>
      <c r="AD69" s="266"/>
      <c r="AE69" s="44"/>
      <c r="AF69" s="44"/>
      <c r="AG69" s="44"/>
      <c r="AH69" s="44"/>
      <c r="AI69" s="44"/>
      <c r="AJ69" s="44"/>
      <c r="AK69" s="44"/>
      <c r="AL69" s="44"/>
      <c r="AM69" s="44"/>
      <c r="AN69" s="44"/>
    </row>
    <row r="70" spans="1:40">
      <c r="A70" s="261"/>
      <c r="B70" s="261"/>
      <c r="C70" s="342"/>
      <c r="D70" s="261"/>
      <c r="E70" s="261"/>
      <c r="F70" s="261"/>
      <c r="G70" s="261"/>
      <c r="H70" s="261"/>
      <c r="I70" s="261"/>
      <c r="J70" s="261"/>
      <c r="K70" s="261"/>
      <c r="L70" s="261"/>
      <c r="M70" s="256"/>
      <c r="N70" s="256"/>
      <c r="O70" s="256"/>
      <c r="P70" s="256"/>
      <c r="Q70" s="261"/>
      <c r="R70" s="261"/>
      <c r="S70" s="261"/>
      <c r="T70" s="261"/>
      <c r="U70" s="261"/>
      <c r="V70" s="261"/>
      <c r="W70" s="261"/>
      <c r="X70" s="261"/>
      <c r="Y70" s="261"/>
      <c r="Z70" s="261"/>
      <c r="AA70" s="266"/>
      <c r="AB70" s="266"/>
      <c r="AC70" s="266"/>
      <c r="AD70" s="266"/>
      <c r="AE70" s="44"/>
      <c r="AF70" s="44"/>
      <c r="AG70" s="44"/>
      <c r="AH70" s="44"/>
      <c r="AI70" s="44"/>
      <c r="AJ70" s="44"/>
      <c r="AK70" s="44"/>
      <c r="AL70" s="44"/>
      <c r="AM70" s="44"/>
      <c r="AN70" s="44"/>
    </row>
    <row r="71" spans="1:40">
      <c r="A71" s="261"/>
      <c r="B71" s="261"/>
      <c r="C71" s="342"/>
      <c r="D71" s="261"/>
      <c r="E71" s="261"/>
      <c r="F71" s="261"/>
      <c r="G71" s="261"/>
      <c r="H71" s="261"/>
      <c r="I71" s="261"/>
      <c r="J71" s="261"/>
      <c r="K71" s="261"/>
      <c r="L71" s="261"/>
      <c r="M71" s="256"/>
      <c r="N71" s="256"/>
      <c r="O71" s="256"/>
      <c r="P71" s="256"/>
      <c r="Q71" s="261"/>
      <c r="R71" s="261"/>
      <c r="S71" s="261"/>
      <c r="T71" s="261"/>
      <c r="U71" s="261"/>
      <c r="V71" s="261"/>
      <c r="W71" s="261"/>
      <c r="X71" s="261"/>
      <c r="Y71" s="261"/>
      <c r="Z71" s="261"/>
      <c r="AA71" s="266"/>
      <c r="AB71" s="266"/>
      <c r="AC71" s="266"/>
      <c r="AD71" s="266"/>
      <c r="AE71" s="44"/>
      <c r="AF71" s="44"/>
      <c r="AG71" s="44"/>
      <c r="AH71" s="44"/>
      <c r="AI71" s="44"/>
      <c r="AJ71" s="44"/>
      <c r="AK71" s="44"/>
      <c r="AL71" s="44"/>
      <c r="AM71" s="44"/>
      <c r="AN71" s="44"/>
    </row>
    <row r="72" spans="1:40">
      <c r="A72" s="261"/>
      <c r="B72" s="261"/>
      <c r="C72" s="342"/>
      <c r="D72" s="261"/>
      <c r="E72" s="261"/>
      <c r="F72" s="261"/>
      <c r="G72" s="261"/>
      <c r="H72" s="261"/>
      <c r="I72" s="261"/>
      <c r="J72" s="261"/>
      <c r="K72" s="261"/>
      <c r="L72" s="261"/>
      <c r="M72" s="256"/>
      <c r="N72" s="256"/>
      <c r="O72" s="256"/>
      <c r="P72" s="256"/>
      <c r="Q72" s="261"/>
      <c r="R72" s="261"/>
      <c r="S72" s="261"/>
      <c r="T72" s="261"/>
      <c r="U72" s="261"/>
      <c r="V72" s="261"/>
      <c r="W72" s="261"/>
      <c r="X72" s="261"/>
      <c r="Y72" s="261"/>
      <c r="Z72" s="261"/>
      <c r="AA72" s="266"/>
      <c r="AB72" s="266"/>
      <c r="AC72" s="266"/>
      <c r="AD72" s="266"/>
      <c r="AE72" s="44"/>
      <c r="AF72" s="44"/>
      <c r="AG72" s="44"/>
      <c r="AH72" s="44"/>
      <c r="AI72" s="44"/>
      <c r="AJ72" s="44"/>
      <c r="AK72" s="44"/>
      <c r="AL72" s="44"/>
      <c r="AM72" s="44"/>
      <c r="AN72" s="44"/>
    </row>
    <row r="73" spans="1:40">
      <c r="A73" s="261"/>
      <c r="B73" s="261"/>
      <c r="C73" s="342"/>
      <c r="D73" s="261"/>
      <c r="E73" s="261"/>
      <c r="F73" s="261"/>
      <c r="G73" s="261"/>
      <c r="H73" s="261"/>
      <c r="I73" s="261"/>
      <c r="J73" s="261"/>
      <c r="K73" s="261"/>
      <c r="L73" s="261"/>
      <c r="M73" s="256"/>
      <c r="N73" s="256"/>
      <c r="O73" s="256"/>
      <c r="P73" s="256"/>
      <c r="Q73" s="261"/>
      <c r="R73" s="261"/>
      <c r="S73" s="261"/>
      <c r="T73" s="261"/>
      <c r="U73" s="261"/>
      <c r="V73" s="261"/>
      <c r="W73" s="261"/>
      <c r="X73" s="261"/>
      <c r="Y73" s="261"/>
      <c r="Z73" s="261"/>
      <c r="AA73" s="266"/>
      <c r="AB73" s="266"/>
      <c r="AC73" s="266"/>
      <c r="AD73" s="266"/>
      <c r="AE73" s="44"/>
      <c r="AF73" s="44"/>
      <c r="AG73" s="44"/>
      <c r="AH73" s="44"/>
      <c r="AI73" s="44"/>
      <c r="AJ73" s="44"/>
      <c r="AK73" s="44"/>
      <c r="AL73" s="44"/>
      <c r="AM73" s="44"/>
      <c r="AN73" s="44"/>
    </row>
    <row r="74" spans="1:40">
      <c r="A74" s="261"/>
      <c r="B74" s="261"/>
      <c r="C74" s="342"/>
      <c r="D74" s="261"/>
      <c r="E74" s="261"/>
      <c r="F74" s="261"/>
      <c r="G74" s="261"/>
      <c r="H74" s="261"/>
      <c r="I74" s="261"/>
      <c r="J74" s="261"/>
      <c r="K74" s="261"/>
      <c r="L74" s="261"/>
      <c r="M74" s="256"/>
      <c r="N74" s="256"/>
      <c r="O74" s="256"/>
      <c r="P74" s="256"/>
      <c r="Q74" s="261"/>
      <c r="R74" s="261"/>
      <c r="S74" s="261"/>
      <c r="T74" s="261"/>
      <c r="U74" s="261"/>
      <c r="V74" s="261"/>
      <c r="W74" s="261"/>
      <c r="X74" s="261"/>
      <c r="Y74" s="261"/>
      <c r="Z74" s="261"/>
      <c r="AA74" s="266"/>
      <c r="AB74" s="266"/>
      <c r="AC74" s="266"/>
      <c r="AD74" s="266"/>
      <c r="AE74" s="44"/>
      <c r="AF74" s="44"/>
      <c r="AG74" s="44"/>
      <c r="AH74" s="44"/>
      <c r="AI74" s="44"/>
      <c r="AJ74" s="44"/>
      <c r="AK74" s="44"/>
      <c r="AL74" s="44"/>
      <c r="AM74" s="44"/>
      <c r="AN74" s="44"/>
    </row>
    <row r="75" spans="1:40">
      <c r="A75" s="261"/>
      <c r="B75" s="261"/>
      <c r="C75" s="342"/>
      <c r="D75" s="261"/>
      <c r="E75" s="261"/>
      <c r="F75" s="261"/>
      <c r="G75" s="261"/>
      <c r="H75" s="261"/>
      <c r="I75" s="261"/>
      <c r="J75" s="261"/>
      <c r="K75" s="261"/>
      <c r="L75" s="261"/>
      <c r="M75" s="256"/>
      <c r="N75" s="256"/>
      <c r="O75" s="256"/>
      <c r="P75" s="256"/>
      <c r="Q75" s="261"/>
      <c r="R75" s="261"/>
      <c r="S75" s="261"/>
      <c r="T75" s="261"/>
      <c r="U75" s="261"/>
      <c r="V75" s="261"/>
      <c r="W75" s="261"/>
      <c r="X75" s="261"/>
      <c r="Y75" s="261"/>
      <c r="Z75" s="261"/>
      <c r="AA75" s="266"/>
      <c r="AB75" s="266"/>
      <c r="AC75" s="266"/>
      <c r="AD75" s="266"/>
      <c r="AE75" s="44"/>
      <c r="AF75" s="44"/>
      <c r="AG75" s="44"/>
      <c r="AH75" s="44"/>
      <c r="AI75" s="44"/>
      <c r="AJ75" s="44"/>
      <c r="AK75" s="44"/>
      <c r="AL75" s="44"/>
      <c r="AM75" s="44"/>
      <c r="AN75" s="44"/>
    </row>
    <row r="76" spans="1:40">
      <c r="A76" s="261"/>
      <c r="B76" s="261"/>
      <c r="C76" s="342"/>
      <c r="D76" s="261"/>
      <c r="E76" s="261"/>
      <c r="F76" s="261"/>
      <c r="G76" s="261"/>
      <c r="H76" s="261"/>
      <c r="I76" s="261"/>
      <c r="J76" s="261"/>
      <c r="K76" s="261"/>
      <c r="L76" s="261"/>
      <c r="M76" s="256"/>
      <c r="N76" s="256"/>
      <c r="O76" s="256"/>
      <c r="P76" s="256"/>
      <c r="Q76" s="261"/>
      <c r="R76" s="261"/>
      <c r="S76" s="261"/>
      <c r="T76" s="261"/>
      <c r="U76" s="261"/>
      <c r="V76" s="261"/>
      <c r="W76" s="261"/>
      <c r="X76" s="261"/>
      <c r="Y76" s="261"/>
      <c r="Z76" s="261"/>
      <c r="AA76" s="266"/>
      <c r="AB76" s="266"/>
      <c r="AC76" s="266"/>
      <c r="AD76" s="266"/>
      <c r="AE76" s="44"/>
      <c r="AF76" s="44"/>
      <c r="AG76" s="44"/>
      <c r="AH76" s="44"/>
      <c r="AI76" s="44"/>
      <c r="AJ76" s="44"/>
      <c r="AK76" s="44"/>
      <c r="AL76" s="44"/>
      <c r="AM76" s="44"/>
      <c r="AN76" s="44"/>
    </row>
    <row r="77" spans="1:40">
      <c r="A77" s="261"/>
      <c r="B77" s="261"/>
      <c r="C77" s="342"/>
      <c r="D77" s="261"/>
      <c r="E77" s="261"/>
      <c r="F77" s="261"/>
      <c r="G77" s="261"/>
      <c r="H77" s="261"/>
      <c r="I77" s="261"/>
      <c r="J77" s="261"/>
      <c r="K77" s="261"/>
      <c r="L77" s="261"/>
      <c r="M77" s="256"/>
      <c r="N77" s="256"/>
      <c r="O77" s="256"/>
      <c r="P77" s="256"/>
      <c r="Q77" s="261"/>
      <c r="R77" s="261"/>
      <c r="S77" s="261"/>
      <c r="T77" s="261"/>
      <c r="U77" s="261"/>
      <c r="V77" s="261"/>
      <c r="W77" s="261"/>
      <c r="X77" s="261"/>
      <c r="Y77" s="261"/>
      <c r="Z77" s="261"/>
      <c r="AA77" s="266"/>
      <c r="AB77" s="266"/>
      <c r="AC77" s="266"/>
      <c r="AD77" s="266"/>
      <c r="AE77" s="44"/>
      <c r="AF77" s="44"/>
      <c r="AG77" s="44"/>
      <c r="AH77" s="44"/>
      <c r="AI77" s="44"/>
      <c r="AJ77" s="44"/>
      <c r="AK77" s="44"/>
      <c r="AL77" s="44"/>
      <c r="AM77" s="44"/>
      <c r="AN77" s="44"/>
    </row>
    <row r="78" spans="1:40">
      <c r="A78" s="261"/>
      <c r="B78" s="261"/>
      <c r="C78" s="342"/>
      <c r="D78" s="261"/>
      <c r="E78" s="261"/>
      <c r="F78" s="261"/>
      <c r="G78" s="261"/>
      <c r="H78" s="261"/>
      <c r="I78" s="261"/>
      <c r="J78" s="261"/>
      <c r="K78" s="261"/>
      <c r="L78" s="261"/>
      <c r="M78" s="256"/>
      <c r="N78" s="256"/>
      <c r="O78" s="256"/>
      <c r="P78" s="256"/>
      <c r="Q78" s="261"/>
      <c r="R78" s="261"/>
      <c r="S78" s="261"/>
      <c r="T78" s="261"/>
      <c r="U78" s="261"/>
      <c r="V78" s="261"/>
      <c r="W78" s="261"/>
      <c r="X78" s="261"/>
      <c r="Y78" s="261"/>
      <c r="Z78" s="261"/>
      <c r="AA78" s="266"/>
      <c r="AB78" s="266"/>
      <c r="AC78" s="266"/>
      <c r="AD78" s="266"/>
      <c r="AE78" s="44"/>
      <c r="AF78" s="44"/>
      <c r="AG78" s="44"/>
      <c r="AH78" s="44"/>
      <c r="AI78" s="44"/>
      <c r="AJ78" s="44"/>
      <c r="AK78" s="44"/>
      <c r="AL78" s="44"/>
      <c r="AM78" s="44"/>
      <c r="AN78" s="44"/>
    </row>
    <row r="79" spans="1:40">
      <c r="A79" s="261"/>
      <c r="B79" s="261"/>
      <c r="C79" s="342"/>
      <c r="D79" s="261"/>
      <c r="E79" s="261"/>
      <c r="F79" s="261"/>
      <c r="G79" s="261"/>
      <c r="H79" s="261"/>
      <c r="I79" s="261"/>
      <c r="J79" s="261"/>
      <c r="K79" s="261"/>
      <c r="L79" s="261"/>
      <c r="M79" s="256"/>
      <c r="N79" s="256"/>
      <c r="O79" s="256"/>
      <c r="P79" s="256"/>
      <c r="Q79" s="261"/>
      <c r="R79" s="261"/>
      <c r="S79" s="261"/>
      <c r="T79" s="261"/>
      <c r="U79" s="261"/>
      <c r="V79" s="261"/>
      <c r="W79" s="261"/>
      <c r="X79" s="261"/>
      <c r="Y79" s="261"/>
      <c r="Z79" s="261"/>
      <c r="AA79" s="266"/>
      <c r="AB79" s="266"/>
      <c r="AC79" s="266"/>
      <c r="AD79" s="266"/>
      <c r="AE79" s="44"/>
      <c r="AF79" s="44"/>
      <c r="AG79" s="44"/>
      <c r="AH79" s="44"/>
      <c r="AI79" s="44"/>
      <c r="AJ79" s="44"/>
      <c r="AK79" s="44"/>
      <c r="AL79" s="44"/>
      <c r="AM79" s="44"/>
      <c r="AN79" s="44"/>
    </row>
    <row r="80" spans="1:40">
      <c r="A80" s="261"/>
      <c r="B80" s="261"/>
      <c r="C80" s="342"/>
      <c r="D80" s="261"/>
      <c r="E80" s="261"/>
      <c r="F80" s="261"/>
      <c r="G80" s="261"/>
      <c r="H80" s="261"/>
      <c r="I80" s="261"/>
      <c r="J80" s="261"/>
      <c r="K80" s="261"/>
      <c r="L80" s="261"/>
      <c r="M80" s="256"/>
      <c r="N80" s="256"/>
      <c r="O80" s="256"/>
      <c r="P80" s="256"/>
      <c r="Q80" s="261"/>
      <c r="R80" s="261"/>
      <c r="S80" s="261"/>
      <c r="T80" s="261"/>
      <c r="U80" s="261"/>
      <c r="V80" s="261"/>
      <c r="W80" s="261"/>
      <c r="X80" s="261"/>
      <c r="Y80" s="261"/>
      <c r="Z80" s="261"/>
      <c r="AA80" s="266"/>
      <c r="AB80" s="266"/>
      <c r="AC80" s="266"/>
      <c r="AD80" s="266"/>
      <c r="AE80" s="44"/>
      <c r="AF80" s="44"/>
      <c r="AG80" s="44"/>
      <c r="AH80" s="44"/>
      <c r="AI80" s="44"/>
      <c r="AJ80" s="44"/>
      <c r="AK80" s="44"/>
      <c r="AL80" s="44"/>
      <c r="AM80" s="44"/>
      <c r="AN80" s="44"/>
    </row>
    <row r="81" spans="1:40">
      <c r="A81" s="261"/>
      <c r="B81" s="261"/>
      <c r="C81" s="342"/>
      <c r="D81" s="261"/>
      <c r="E81" s="261"/>
      <c r="F81" s="261"/>
      <c r="G81" s="261"/>
      <c r="H81" s="261"/>
      <c r="I81" s="261"/>
      <c r="J81" s="261"/>
      <c r="K81" s="261"/>
      <c r="L81" s="261"/>
      <c r="M81" s="256"/>
      <c r="N81" s="256"/>
      <c r="O81" s="256"/>
      <c r="P81" s="256"/>
      <c r="Q81" s="261"/>
      <c r="R81" s="261"/>
      <c r="S81" s="261"/>
      <c r="T81" s="261"/>
      <c r="U81" s="261"/>
      <c r="V81" s="261"/>
      <c r="W81" s="261"/>
      <c r="X81" s="261"/>
      <c r="Y81" s="261"/>
      <c r="Z81" s="261"/>
      <c r="AA81" s="266"/>
      <c r="AB81" s="266"/>
      <c r="AC81" s="266"/>
      <c r="AD81" s="266"/>
      <c r="AE81" s="44"/>
      <c r="AF81" s="44"/>
      <c r="AG81" s="44"/>
      <c r="AH81" s="44"/>
      <c r="AI81" s="44"/>
      <c r="AJ81" s="44"/>
      <c r="AK81" s="44"/>
      <c r="AL81" s="44"/>
      <c r="AM81" s="44"/>
      <c r="AN81" s="44"/>
    </row>
    <row r="82" spans="1:40">
      <c r="A82" s="261"/>
      <c r="B82" s="261"/>
      <c r="C82" s="342"/>
      <c r="D82" s="261"/>
      <c r="E82" s="261"/>
      <c r="F82" s="261"/>
      <c r="G82" s="261"/>
      <c r="H82" s="261"/>
      <c r="I82" s="261"/>
      <c r="J82" s="261"/>
      <c r="K82" s="261"/>
      <c r="L82" s="261"/>
      <c r="M82" s="256"/>
      <c r="N82" s="256"/>
      <c r="O82" s="256"/>
      <c r="P82" s="256"/>
      <c r="Q82" s="261"/>
      <c r="R82" s="261"/>
      <c r="S82" s="261"/>
      <c r="T82" s="261"/>
      <c r="U82" s="261"/>
      <c r="V82" s="261"/>
      <c r="W82" s="261"/>
      <c r="X82" s="261"/>
      <c r="Y82" s="261"/>
      <c r="Z82" s="261"/>
      <c r="AA82" s="266"/>
      <c r="AB82" s="266"/>
      <c r="AC82" s="266"/>
      <c r="AD82" s="266"/>
      <c r="AE82" s="44"/>
      <c r="AF82" s="44"/>
      <c r="AG82" s="44"/>
      <c r="AH82" s="44"/>
      <c r="AI82" s="44"/>
      <c r="AJ82" s="44"/>
      <c r="AK82" s="44"/>
      <c r="AL82" s="44"/>
      <c r="AM82" s="44"/>
      <c r="AN82" s="44"/>
    </row>
    <row r="83" spans="1:40">
      <c r="A83" s="261"/>
      <c r="B83" s="261"/>
      <c r="C83" s="342"/>
      <c r="D83" s="261"/>
      <c r="E83" s="261"/>
      <c r="F83" s="261"/>
      <c r="G83" s="261"/>
      <c r="H83" s="261"/>
      <c r="I83" s="261"/>
      <c r="J83" s="261"/>
      <c r="K83" s="261"/>
      <c r="L83" s="261"/>
      <c r="M83" s="256"/>
      <c r="N83" s="256"/>
      <c r="O83" s="256"/>
      <c r="P83" s="256"/>
      <c r="Q83" s="261"/>
      <c r="R83" s="261"/>
      <c r="S83" s="261"/>
      <c r="T83" s="261"/>
      <c r="U83" s="261"/>
      <c r="V83" s="261"/>
      <c r="W83" s="261"/>
      <c r="X83" s="261"/>
      <c r="Y83" s="261"/>
      <c r="Z83" s="261"/>
      <c r="AA83" s="266"/>
      <c r="AB83" s="266"/>
      <c r="AC83" s="266"/>
      <c r="AD83" s="266"/>
      <c r="AE83" s="44"/>
      <c r="AF83" s="44"/>
      <c r="AG83" s="44"/>
      <c r="AH83" s="44"/>
      <c r="AI83" s="44"/>
      <c r="AJ83" s="44"/>
      <c r="AK83" s="44"/>
      <c r="AL83" s="44"/>
      <c r="AM83" s="44"/>
      <c r="AN83" s="44"/>
    </row>
    <row r="84" spans="1:40">
      <c r="A84" s="261"/>
      <c r="B84" s="261"/>
      <c r="C84" s="342"/>
      <c r="D84" s="261"/>
      <c r="E84" s="261"/>
      <c r="F84" s="261"/>
      <c r="G84" s="261"/>
      <c r="H84" s="261"/>
      <c r="I84" s="261"/>
      <c r="J84" s="261"/>
      <c r="K84" s="261"/>
      <c r="L84" s="261"/>
      <c r="M84" s="256"/>
      <c r="N84" s="256"/>
      <c r="O84" s="256"/>
      <c r="P84" s="256"/>
      <c r="Q84" s="261"/>
      <c r="R84" s="261"/>
      <c r="S84" s="261"/>
      <c r="T84" s="261"/>
      <c r="U84" s="261"/>
      <c r="V84" s="261"/>
      <c r="W84" s="261"/>
      <c r="X84" s="261"/>
      <c r="Y84" s="261"/>
      <c r="Z84" s="261"/>
      <c r="AA84" s="266"/>
      <c r="AB84" s="266"/>
      <c r="AC84" s="266"/>
      <c r="AD84" s="266"/>
      <c r="AE84" s="44"/>
      <c r="AF84" s="44"/>
      <c r="AG84" s="44"/>
      <c r="AH84" s="44"/>
      <c r="AI84" s="44"/>
      <c r="AJ84" s="44"/>
      <c r="AK84" s="44"/>
      <c r="AL84" s="44"/>
      <c r="AM84" s="44"/>
      <c r="AN84" s="44"/>
    </row>
    <row r="85" spans="1:40">
      <c r="A85" s="261"/>
      <c r="B85" s="261"/>
      <c r="C85" s="342"/>
      <c r="D85" s="261"/>
      <c r="E85" s="261"/>
      <c r="F85" s="261"/>
      <c r="G85" s="261"/>
      <c r="H85" s="261"/>
      <c r="I85" s="261"/>
      <c r="J85" s="261"/>
      <c r="K85" s="261"/>
      <c r="L85" s="261"/>
      <c r="M85" s="256"/>
      <c r="N85" s="256"/>
      <c r="O85" s="256"/>
      <c r="P85" s="256"/>
      <c r="Q85" s="261"/>
      <c r="R85" s="261"/>
      <c r="S85" s="261"/>
      <c r="T85" s="261"/>
      <c r="U85" s="261"/>
      <c r="V85" s="261"/>
      <c r="W85" s="261"/>
      <c r="X85" s="261"/>
      <c r="Y85" s="261"/>
      <c r="Z85" s="261"/>
      <c r="AA85" s="266"/>
      <c r="AB85" s="266"/>
      <c r="AC85" s="266"/>
      <c r="AD85" s="266"/>
      <c r="AE85" s="44"/>
      <c r="AF85" s="44"/>
      <c r="AG85" s="44"/>
      <c r="AH85" s="44"/>
      <c r="AI85" s="44"/>
      <c r="AJ85" s="44"/>
      <c r="AK85" s="44"/>
      <c r="AL85" s="44"/>
      <c r="AM85" s="44"/>
      <c r="AN85" s="44"/>
    </row>
    <row r="86" spans="1:40">
      <c r="A86" s="261"/>
      <c r="B86" s="261"/>
      <c r="C86" s="342"/>
      <c r="D86" s="261"/>
      <c r="E86" s="261"/>
      <c r="F86" s="261"/>
      <c r="G86" s="261"/>
      <c r="H86" s="261"/>
      <c r="I86" s="261"/>
      <c r="J86" s="261"/>
      <c r="K86" s="261"/>
      <c r="L86" s="261"/>
      <c r="M86" s="256"/>
      <c r="N86" s="256"/>
      <c r="O86" s="256"/>
      <c r="P86" s="256"/>
      <c r="Q86" s="261"/>
      <c r="R86" s="261"/>
      <c r="S86" s="261"/>
      <c r="T86" s="261"/>
      <c r="U86" s="261"/>
      <c r="V86" s="261"/>
      <c r="W86" s="261"/>
      <c r="X86" s="261"/>
      <c r="Y86" s="261"/>
      <c r="Z86" s="261"/>
      <c r="AA86" s="266"/>
      <c r="AB86" s="266"/>
      <c r="AC86" s="266"/>
      <c r="AD86" s="266"/>
      <c r="AE86" s="44"/>
      <c r="AF86" s="44"/>
      <c r="AG86" s="44"/>
      <c r="AH86" s="44"/>
      <c r="AI86" s="44"/>
      <c r="AJ86" s="44"/>
      <c r="AK86" s="44"/>
      <c r="AL86" s="44"/>
      <c r="AM86" s="44"/>
      <c r="AN86" s="44"/>
    </row>
    <row r="87" spans="1:40">
      <c r="A87" s="261"/>
      <c r="B87" s="261"/>
      <c r="C87" s="342"/>
      <c r="D87" s="261"/>
      <c r="E87" s="261"/>
      <c r="F87" s="261"/>
      <c r="G87" s="261"/>
      <c r="H87" s="261"/>
      <c r="I87" s="261"/>
      <c r="J87" s="261"/>
      <c r="K87" s="261"/>
      <c r="L87" s="261"/>
      <c r="M87" s="256"/>
      <c r="N87" s="256"/>
      <c r="O87" s="256"/>
      <c r="P87" s="256"/>
      <c r="Q87" s="261"/>
      <c r="R87" s="261"/>
      <c r="S87" s="261"/>
      <c r="T87" s="261"/>
      <c r="U87" s="261"/>
      <c r="V87" s="261"/>
      <c r="W87" s="261"/>
      <c r="X87" s="261"/>
      <c r="Y87" s="261"/>
      <c r="Z87" s="261"/>
      <c r="AA87" s="266"/>
      <c r="AB87" s="266"/>
      <c r="AC87" s="266"/>
      <c r="AD87" s="266"/>
      <c r="AE87" s="44"/>
      <c r="AF87" s="44"/>
      <c r="AG87" s="44"/>
      <c r="AH87" s="44"/>
      <c r="AI87" s="44"/>
      <c r="AJ87" s="44"/>
      <c r="AK87" s="44"/>
      <c r="AL87" s="44"/>
      <c r="AM87" s="44"/>
      <c r="AN87" s="44"/>
    </row>
    <row r="88" spans="1:40">
      <c r="A88" s="261"/>
      <c r="B88" s="261"/>
      <c r="C88" s="342"/>
      <c r="D88" s="261"/>
      <c r="E88" s="261"/>
      <c r="F88" s="261"/>
      <c r="G88" s="261"/>
      <c r="H88" s="261"/>
      <c r="I88" s="261"/>
      <c r="J88" s="261"/>
      <c r="K88" s="261"/>
      <c r="L88" s="261"/>
      <c r="M88" s="256"/>
      <c r="N88" s="256"/>
      <c r="O88" s="256"/>
      <c r="P88" s="256"/>
      <c r="Q88" s="261"/>
      <c r="R88" s="261"/>
      <c r="S88" s="261"/>
      <c r="T88" s="261"/>
      <c r="U88" s="261"/>
      <c r="V88" s="261"/>
      <c r="W88" s="261"/>
      <c r="X88" s="261"/>
      <c r="Y88" s="261"/>
      <c r="Z88" s="261"/>
      <c r="AA88" s="266"/>
      <c r="AB88" s="266"/>
      <c r="AC88" s="266"/>
      <c r="AD88" s="266"/>
      <c r="AE88" s="44"/>
      <c r="AF88" s="44"/>
      <c r="AG88" s="44"/>
      <c r="AH88" s="44"/>
      <c r="AI88" s="44"/>
      <c r="AJ88" s="44"/>
      <c r="AK88" s="44"/>
      <c r="AL88" s="44"/>
      <c r="AM88" s="44"/>
      <c r="AN88" s="44"/>
    </row>
    <row r="89" spans="1:40">
      <c r="A89" s="261"/>
      <c r="B89" s="261"/>
      <c r="C89" s="342"/>
      <c r="D89" s="261"/>
      <c r="E89" s="261"/>
      <c r="F89" s="261"/>
      <c r="G89" s="261"/>
      <c r="H89" s="261"/>
      <c r="I89" s="261"/>
      <c r="J89" s="261"/>
      <c r="K89" s="261"/>
      <c r="L89" s="261"/>
      <c r="M89" s="256"/>
      <c r="N89" s="256"/>
      <c r="O89" s="256"/>
      <c r="P89" s="256"/>
      <c r="Q89" s="261"/>
      <c r="R89" s="261"/>
      <c r="S89" s="261"/>
      <c r="T89" s="261"/>
      <c r="U89" s="261"/>
      <c r="V89" s="261"/>
      <c r="W89" s="261"/>
      <c r="X89" s="261"/>
      <c r="Y89" s="261"/>
      <c r="Z89" s="261"/>
      <c r="AA89" s="266"/>
      <c r="AB89" s="266"/>
      <c r="AC89" s="266"/>
      <c r="AD89" s="266"/>
      <c r="AE89" s="44"/>
      <c r="AF89" s="44"/>
      <c r="AG89" s="44"/>
      <c r="AH89" s="44"/>
      <c r="AI89" s="44"/>
      <c r="AJ89" s="44"/>
      <c r="AK89" s="44"/>
      <c r="AL89" s="44"/>
      <c r="AM89" s="44"/>
      <c r="AN89" s="44"/>
    </row>
    <row r="90" spans="1:40">
      <c r="A90" s="261"/>
      <c r="B90" s="261"/>
      <c r="C90" s="342"/>
      <c r="D90" s="261"/>
      <c r="E90" s="261"/>
      <c r="F90" s="261"/>
      <c r="G90" s="261"/>
      <c r="H90" s="261"/>
      <c r="I90" s="261"/>
      <c r="J90" s="261"/>
      <c r="K90" s="261"/>
      <c r="L90" s="261"/>
      <c r="M90" s="256"/>
      <c r="N90" s="256"/>
      <c r="O90" s="256"/>
      <c r="P90" s="256"/>
      <c r="Q90" s="261"/>
      <c r="R90" s="261"/>
      <c r="S90" s="261"/>
      <c r="T90" s="261"/>
      <c r="U90" s="261"/>
      <c r="V90" s="261"/>
      <c r="W90" s="261"/>
      <c r="X90" s="261"/>
      <c r="Y90" s="261"/>
      <c r="Z90" s="261"/>
      <c r="AA90" s="266"/>
      <c r="AB90" s="266"/>
      <c r="AC90" s="266"/>
      <c r="AD90" s="266"/>
      <c r="AE90" s="44"/>
      <c r="AF90" s="44"/>
      <c r="AG90" s="44"/>
      <c r="AH90" s="44"/>
      <c r="AI90" s="44"/>
      <c r="AJ90" s="44"/>
      <c r="AK90" s="44"/>
      <c r="AL90" s="44"/>
      <c r="AM90" s="44"/>
      <c r="AN90" s="44"/>
    </row>
    <row r="91" spans="1:40">
      <c r="A91" s="261"/>
      <c r="B91" s="261"/>
      <c r="C91" s="342"/>
      <c r="D91" s="261"/>
      <c r="E91" s="261"/>
      <c r="F91" s="261"/>
      <c r="G91" s="261"/>
      <c r="H91" s="261"/>
      <c r="I91" s="261"/>
      <c r="J91" s="261"/>
      <c r="K91" s="261"/>
      <c r="L91" s="261"/>
      <c r="M91" s="256"/>
      <c r="N91" s="256"/>
      <c r="O91" s="256"/>
      <c r="P91" s="256"/>
      <c r="Q91" s="261"/>
      <c r="R91" s="261"/>
      <c r="S91" s="261"/>
      <c r="T91" s="261"/>
      <c r="U91" s="261"/>
      <c r="V91" s="261"/>
      <c r="W91" s="261"/>
      <c r="X91" s="261"/>
      <c r="Y91" s="261"/>
      <c r="Z91" s="261"/>
      <c r="AA91" s="266"/>
      <c r="AB91" s="266"/>
      <c r="AC91" s="266"/>
      <c r="AD91" s="266"/>
      <c r="AE91" s="44"/>
      <c r="AF91" s="44"/>
      <c r="AG91" s="44"/>
      <c r="AH91" s="44"/>
      <c r="AI91" s="44"/>
      <c r="AJ91" s="44"/>
      <c r="AK91" s="44"/>
      <c r="AL91" s="44"/>
      <c r="AM91" s="44"/>
      <c r="AN91" s="44"/>
    </row>
    <row r="92" spans="1:40">
      <c r="A92" s="261"/>
      <c r="B92" s="261"/>
      <c r="C92" s="342"/>
      <c r="D92" s="261"/>
      <c r="E92" s="261"/>
      <c r="F92" s="261"/>
      <c r="G92" s="261"/>
      <c r="H92" s="261"/>
      <c r="I92" s="261"/>
      <c r="J92" s="261"/>
      <c r="K92" s="261"/>
      <c r="L92" s="261"/>
      <c r="M92" s="256"/>
      <c r="N92" s="256"/>
      <c r="O92" s="256"/>
      <c r="P92" s="256"/>
      <c r="Q92" s="261"/>
      <c r="R92" s="261"/>
      <c r="S92" s="261"/>
      <c r="T92" s="261"/>
      <c r="U92" s="261"/>
      <c r="V92" s="261"/>
      <c r="W92" s="261"/>
      <c r="X92" s="261"/>
      <c r="Y92" s="261"/>
      <c r="Z92" s="261"/>
      <c r="AA92" s="266"/>
      <c r="AB92" s="266"/>
      <c r="AC92" s="266"/>
      <c r="AD92" s="266"/>
      <c r="AE92" s="44"/>
      <c r="AF92" s="44"/>
      <c r="AG92" s="44"/>
      <c r="AH92" s="44"/>
      <c r="AI92" s="44"/>
      <c r="AJ92" s="44"/>
      <c r="AK92" s="44"/>
      <c r="AL92" s="44"/>
      <c r="AM92" s="44"/>
      <c r="AN92" s="44"/>
    </row>
    <row r="93" spans="1:40">
      <c r="A93" s="261"/>
      <c r="B93" s="261"/>
      <c r="C93" s="342"/>
      <c r="D93" s="261"/>
      <c r="E93" s="261"/>
      <c r="F93" s="261"/>
      <c r="G93" s="261"/>
      <c r="H93" s="261"/>
      <c r="I93" s="261"/>
      <c r="J93" s="261"/>
      <c r="K93" s="261"/>
      <c r="L93" s="261"/>
      <c r="M93" s="256"/>
      <c r="N93" s="256"/>
      <c r="O93" s="256"/>
      <c r="P93" s="256"/>
      <c r="Q93" s="261"/>
      <c r="R93" s="261"/>
      <c r="S93" s="261"/>
      <c r="T93" s="261"/>
      <c r="U93" s="261"/>
      <c r="V93" s="261"/>
      <c r="W93" s="261"/>
      <c r="X93" s="261"/>
      <c r="Y93" s="261"/>
      <c r="Z93" s="261"/>
      <c r="AA93" s="266"/>
      <c r="AB93" s="266"/>
      <c r="AC93" s="266"/>
      <c r="AD93" s="266"/>
      <c r="AE93" s="44"/>
      <c r="AF93" s="44"/>
      <c r="AG93" s="44"/>
      <c r="AH93" s="44"/>
      <c r="AI93" s="44"/>
      <c r="AJ93" s="44"/>
      <c r="AK93" s="44"/>
      <c r="AL93" s="44"/>
      <c r="AM93" s="44"/>
      <c r="AN93" s="44"/>
    </row>
    <row r="94" spans="1:40">
      <c r="A94" s="261"/>
      <c r="B94" s="261"/>
      <c r="C94" s="342"/>
      <c r="D94" s="261"/>
      <c r="E94" s="261"/>
      <c r="F94" s="261"/>
      <c r="G94" s="261"/>
      <c r="H94" s="261"/>
      <c r="I94" s="261"/>
      <c r="J94" s="261"/>
      <c r="K94" s="261"/>
      <c r="L94" s="261"/>
      <c r="M94" s="256"/>
      <c r="N94" s="256"/>
      <c r="O94" s="256"/>
      <c r="P94" s="256"/>
      <c r="Q94" s="261"/>
      <c r="R94" s="261"/>
      <c r="S94" s="261"/>
      <c r="T94" s="261"/>
      <c r="U94" s="261"/>
      <c r="V94" s="261"/>
      <c r="W94" s="261"/>
      <c r="X94" s="261"/>
      <c r="Y94" s="261"/>
      <c r="Z94" s="261"/>
      <c r="AA94" s="266"/>
      <c r="AB94" s="266"/>
      <c r="AC94" s="266"/>
      <c r="AD94" s="266"/>
      <c r="AE94" s="44"/>
      <c r="AF94" s="44"/>
      <c r="AG94" s="44"/>
      <c r="AH94" s="44"/>
      <c r="AI94" s="44"/>
      <c r="AJ94" s="44"/>
      <c r="AK94" s="44"/>
      <c r="AL94" s="44"/>
      <c r="AM94" s="44"/>
      <c r="AN94" s="44"/>
    </row>
    <row r="95" spans="1:40">
      <c r="A95" s="261"/>
      <c r="B95" s="261"/>
      <c r="C95" s="342"/>
      <c r="D95" s="261"/>
      <c r="E95" s="261"/>
      <c r="F95" s="261"/>
      <c r="G95" s="261"/>
      <c r="H95" s="261"/>
      <c r="I95" s="261"/>
      <c r="J95" s="261"/>
      <c r="K95" s="261"/>
      <c r="L95" s="261"/>
      <c r="M95" s="256"/>
      <c r="N95" s="256"/>
      <c r="O95" s="256"/>
      <c r="P95" s="256"/>
      <c r="Q95" s="261"/>
      <c r="R95" s="261"/>
      <c r="S95" s="261"/>
      <c r="T95" s="261"/>
      <c r="U95" s="261"/>
      <c r="V95" s="261"/>
      <c r="W95" s="261"/>
      <c r="X95" s="261"/>
      <c r="Y95" s="261"/>
      <c r="Z95" s="261"/>
      <c r="AA95" s="266"/>
      <c r="AB95" s="266"/>
      <c r="AC95" s="266"/>
      <c r="AD95" s="266"/>
      <c r="AE95" s="44"/>
      <c r="AF95" s="44"/>
      <c r="AG95" s="44"/>
      <c r="AH95" s="44"/>
      <c r="AI95" s="44"/>
      <c r="AJ95" s="44"/>
      <c r="AK95" s="44"/>
      <c r="AL95" s="44"/>
      <c r="AM95" s="44"/>
      <c r="AN95" s="44"/>
    </row>
    <row r="96" spans="1:40">
      <c r="A96" s="261"/>
      <c r="B96" s="261"/>
      <c r="C96" s="342"/>
      <c r="D96" s="261"/>
      <c r="E96" s="261"/>
      <c r="F96" s="261"/>
      <c r="G96" s="261"/>
      <c r="H96" s="261"/>
      <c r="I96" s="261"/>
      <c r="J96" s="261"/>
      <c r="K96" s="261"/>
      <c r="L96" s="261"/>
      <c r="M96" s="256"/>
      <c r="N96" s="256"/>
      <c r="O96" s="256"/>
      <c r="P96" s="256"/>
      <c r="Q96" s="261"/>
      <c r="R96" s="261"/>
      <c r="S96" s="261"/>
      <c r="T96" s="261"/>
      <c r="U96" s="261"/>
      <c r="V96" s="261"/>
      <c r="W96" s="261"/>
      <c r="X96" s="261"/>
      <c r="Y96" s="261"/>
      <c r="Z96" s="261"/>
      <c r="AA96" s="266"/>
      <c r="AB96" s="266"/>
      <c r="AC96" s="266"/>
      <c r="AD96" s="266"/>
      <c r="AE96" s="44"/>
      <c r="AF96" s="44"/>
      <c r="AG96" s="44"/>
      <c r="AH96" s="44"/>
      <c r="AI96" s="44"/>
      <c r="AJ96" s="44"/>
      <c r="AK96" s="44"/>
      <c r="AL96" s="44"/>
      <c r="AM96" s="44"/>
      <c r="AN96" s="44"/>
    </row>
    <row r="97" spans="1:40">
      <c r="A97" s="261"/>
      <c r="B97" s="261"/>
      <c r="C97" s="342"/>
      <c r="D97" s="261"/>
      <c r="E97" s="261"/>
      <c r="F97" s="261"/>
      <c r="G97" s="261"/>
      <c r="H97" s="261"/>
      <c r="I97" s="261"/>
      <c r="J97" s="261"/>
      <c r="K97" s="261"/>
      <c r="L97" s="261"/>
      <c r="M97" s="256"/>
      <c r="N97" s="256"/>
      <c r="O97" s="256"/>
      <c r="P97" s="256"/>
      <c r="Q97" s="261"/>
      <c r="R97" s="261"/>
      <c r="S97" s="261"/>
      <c r="T97" s="261"/>
      <c r="U97" s="261"/>
      <c r="V97" s="261"/>
      <c r="W97" s="261"/>
      <c r="X97" s="261"/>
      <c r="Y97" s="261"/>
      <c r="Z97" s="261"/>
      <c r="AA97" s="266"/>
      <c r="AB97" s="266"/>
      <c r="AC97" s="266"/>
      <c r="AD97" s="266"/>
      <c r="AE97" s="44"/>
      <c r="AF97" s="44"/>
      <c r="AG97" s="44"/>
      <c r="AH97" s="44"/>
      <c r="AI97" s="44"/>
      <c r="AJ97" s="44"/>
      <c r="AK97" s="44"/>
      <c r="AL97" s="44"/>
      <c r="AM97" s="44"/>
      <c r="AN97" s="44"/>
    </row>
    <row r="98" spans="1:40">
      <c r="A98" s="261"/>
      <c r="B98" s="261"/>
      <c r="C98" s="342"/>
      <c r="D98" s="261"/>
      <c r="E98" s="261"/>
      <c r="F98" s="261"/>
      <c r="G98" s="261"/>
      <c r="H98" s="261"/>
      <c r="I98" s="261"/>
      <c r="J98" s="261"/>
      <c r="K98" s="261"/>
      <c r="L98" s="261"/>
      <c r="M98" s="256"/>
      <c r="N98" s="256"/>
      <c r="O98" s="256"/>
      <c r="P98" s="256"/>
      <c r="Q98" s="261"/>
      <c r="R98" s="261"/>
      <c r="S98" s="261"/>
      <c r="T98" s="261"/>
      <c r="U98" s="261"/>
      <c r="V98" s="261"/>
      <c r="W98" s="261"/>
      <c r="X98" s="261"/>
      <c r="Y98" s="261"/>
      <c r="Z98" s="261"/>
      <c r="AA98" s="266"/>
      <c r="AB98" s="266"/>
      <c r="AC98" s="266"/>
      <c r="AD98" s="266"/>
      <c r="AE98" s="44"/>
      <c r="AF98" s="44"/>
      <c r="AG98" s="44"/>
      <c r="AH98" s="44"/>
      <c r="AI98" s="44"/>
      <c r="AJ98" s="44"/>
      <c r="AK98" s="44"/>
      <c r="AL98" s="44"/>
      <c r="AM98" s="44"/>
      <c r="AN98" s="44"/>
    </row>
    <row r="99" spans="1:40">
      <c r="A99" s="261"/>
      <c r="B99" s="261"/>
      <c r="C99" s="342"/>
      <c r="D99" s="261"/>
      <c r="E99" s="261"/>
      <c r="F99" s="261"/>
      <c r="G99" s="261"/>
      <c r="H99" s="261"/>
      <c r="I99" s="261"/>
      <c r="J99" s="261"/>
      <c r="K99" s="261"/>
      <c r="L99" s="261"/>
      <c r="M99" s="256"/>
      <c r="N99" s="256"/>
      <c r="O99" s="256"/>
      <c r="P99" s="256"/>
      <c r="Q99" s="261"/>
      <c r="R99" s="261"/>
      <c r="S99" s="261"/>
      <c r="T99" s="261"/>
      <c r="U99" s="261"/>
      <c r="V99" s="261"/>
      <c r="W99" s="261"/>
      <c r="X99" s="261"/>
      <c r="Y99" s="261"/>
      <c r="Z99" s="261"/>
      <c r="AA99" s="266"/>
      <c r="AB99" s="266"/>
      <c r="AC99" s="266"/>
      <c r="AD99" s="266"/>
      <c r="AE99" s="44"/>
      <c r="AF99" s="44"/>
      <c r="AG99" s="44"/>
      <c r="AH99" s="44"/>
      <c r="AI99" s="44"/>
      <c r="AJ99" s="44"/>
      <c r="AK99" s="44"/>
      <c r="AL99" s="44"/>
      <c r="AM99" s="44"/>
      <c r="AN99" s="44"/>
    </row>
    <row r="100" spans="1:40">
      <c r="A100" s="261"/>
      <c r="B100" s="261"/>
      <c r="C100" s="342"/>
      <c r="D100" s="261"/>
      <c r="E100" s="261"/>
      <c r="F100" s="261"/>
      <c r="G100" s="261"/>
      <c r="H100" s="261"/>
      <c r="I100" s="261"/>
      <c r="J100" s="261"/>
      <c r="K100" s="261"/>
      <c r="L100" s="261"/>
      <c r="M100" s="256"/>
      <c r="N100" s="256"/>
      <c r="O100" s="256"/>
      <c r="P100" s="256"/>
      <c r="Q100" s="261"/>
      <c r="R100" s="261"/>
      <c r="S100" s="261"/>
      <c r="T100" s="261"/>
      <c r="U100" s="261"/>
      <c r="V100" s="261"/>
      <c r="W100" s="261"/>
      <c r="X100" s="261"/>
      <c r="Y100" s="261"/>
      <c r="Z100" s="261"/>
      <c r="AA100" s="266"/>
      <c r="AB100" s="266"/>
      <c r="AC100" s="266"/>
      <c r="AD100" s="266"/>
      <c r="AE100" s="44"/>
      <c r="AF100" s="44"/>
      <c r="AG100" s="44"/>
      <c r="AH100" s="44"/>
      <c r="AI100" s="44"/>
      <c r="AJ100" s="44"/>
      <c r="AK100" s="44"/>
      <c r="AL100" s="44"/>
      <c r="AM100" s="44"/>
      <c r="AN100" s="44"/>
    </row>
    <row r="101" spans="1:40">
      <c r="A101" s="261"/>
      <c r="B101" s="261"/>
      <c r="C101" s="342"/>
      <c r="D101" s="261"/>
      <c r="E101" s="261"/>
      <c r="F101" s="261"/>
      <c r="G101" s="261"/>
      <c r="H101" s="261"/>
      <c r="I101" s="261"/>
      <c r="J101" s="261"/>
      <c r="K101" s="261"/>
      <c r="L101" s="261"/>
      <c r="M101" s="256"/>
      <c r="N101" s="256"/>
      <c r="O101" s="256"/>
      <c r="P101" s="256"/>
      <c r="Q101" s="261"/>
      <c r="R101" s="261"/>
      <c r="S101" s="261"/>
      <c r="T101" s="261"/>
      <c r="U101" s="261"/>
      <c r="V101" s="261"/>
      <c r="W101" s="261"/>
      <c r="X101" s="261"/>
      <c r="Y101" s="261"/>
      <c r="Z101" s="261"/>
      <c r="AA101" s="266"/>
      <c r="AB101" s="266"/>
      <c r="AC101" s="266"/>
      <c r="AD101" s="266"/>
      <c r="AE101" s="44"/>
      <c r="AF101" s="44"/>
      <c r="AG101" s="44"/>
      <c r="AH101" s="44"/>
      <c r="AI101" s="44"/>
      <c r="AJ101" s="44"/>
      <c r="AK101" s="44"/>
      <c r="AL101" s="44"/>
      <c r="AM101" s="44"/>
      <c r="AN101" s="44"/>
    </row>
    <row r="102" spans="1:40">
      <c r="A102" s="261"/>
      <c r="B102" s="261"/>
      <c r="C102" s="342"/>
      <c r="D102" s="261"/>
      <c r="E102" s="261"/>
      <c r="F102" s="261"/>
      <c r="G102" s="261"/>
      <c r="H102" s="261"/>
      <c r="I102" s="261"/>
      <c r="J102" s="261"/>
      <c r="K102" s="261"/>
      <c r="L102" s="261"/>
      <c r="M102" s="256"/>
      <c r="N102" s="256"/>
      <c r="O102" s="256"/>
      <c r="P102" s="256"/>
      <c r="Q102" s="261"/>
      <c r="R102" s="261"/>
      <c r="S102" s="261"/>
      <c r="T102" s="261"/>
      <c r="U102" s="261"/>
      <c r="V102" s="261"/>
      <c r="W102" s="261"/>
      <c r="X102" s="261"/>
      <c r="Y102" s="261"/>
      <c r="Z102" s="261"/>
      <c r="AA102" s="266"/>
      <c r="AB102" s="266"/>
      <c r="AC102" s="266"/>
      <c r="AD102" s="266"/>
      <c r="AE102" s="44"/>
      <c r="AF102" s="44"/>
      <c r="AG102" s="44"/>
      <c r="AH102" s="44"/>
      <c r="AI102" s="44"/>
      <c r="AJ102" s="44"/>
      <c r="AK102" s="44"/>
      <c r="AL102" s="44"/>
      <c r="AM102" s="44"/>
      <c r="AN102" s="44"/>
    </row>
    <row r="103" spans="1:40">
      <c r="A103" s="261"/>
      <c r="B103" s="261"/>
      <c r="C103" s="342"/>
      <c r="D103" s="261"/>
      <c r="E103" s="261"/>
      <c r="F103" s="261"/>
      <c r="G103" s="261"/>
      <c r="H103" s="261"/>
      <c r="I103" s="261"/>
      <c r="J103" s="261"/>
      <c r="K103" s="261"/>
      <c r="L103" s="261"/>
      <c r="M103" s="256"/>
      <c r="N103" s="256"/>
      <c r="O103" s="256"/>
      <c r="P103" s="256"/>
      <c r="Q103" s="261"/>
      <c r="R103" s="261"/>
      <c r="S103" s="261"/>
      <c r="T103" s="261"/>
      <c r="U103" s="261"/>
      <c r="V103" s="261"/>
      <c r="W103" s="261"/>
      <c r="X103" s="261"/>
      <c r="Y103" s="261"/>
      <c r="Z103" s="261"/>
      <c r="AA103" s="266"/>
      <c r="AB103" s="266"/>
      <c r="AC103" s="266"/>
      <c r="AD103" s="266"/>
      <c r="AE103" s="44"/>
      <c r="AF103" s="44"/>
      <c r="AG103" s="44"/>
      <c r="AH103" s="44"/>
      <c r="AI103" s="44"/>
      <c r="AJ103" s="44"/>
      <c r="AK103" s="44"/>
      <c r="AL103" s="44"/>
      <c r="AM103" s="44"/>
      <c r="AN103" s="44"/>
    </row>
    <row r="104" spans="1:40">
      <c r="A104" s="261"/>
      <c r="B104" s="261"/>
      <c r="C104" s="342"/>
      <c r="D104" s="261"/>
      <c r="E104" s="261"/>
      <c r="F104" s="261"/>
      <c r="G104" s="261"/>
      <c r="H104" s="261"/>
      <c r="I104" s="261"/>
      <c r="J104" s="261"/>
      <c r="K104" s="261"/>
      <c r="L104" s="261"/>
      <c r="M104" s="256"/>
      <c r="N104" s="256"/>
      <c r="O104" s="256"/>
      <c r="P104" s="256"/>
      <c r="Q104" s="261"/>
      <c r="R104" s="261"/>
      <c r="S104" s="261"/>
      <c r="T104" s="261"/>
      <c r="U104" s="261"/>
      <c r="V104" s="261"/>
      <c r="W104" s="261"/>
      <c r="X104" s="261"/>
      <c r="Y104" s="261"/>
      <c r="Z104" s="261"/>
      <c r="AA104" s="266"/>
      <c r="AB104" s="266"/>
      <c r="AC104" s="266"/>
      <c r="AD104" s="266"/>
      <c r="AE104" s="44"/>
      <c r="AF104" s="44"/>
      <c r="AG104" s="44"/>
      <c r="AH104" s="44"/>
      <c r="AI104" s="44"/>
      <c r="AJ104" s="44"/>
      <c r="AK104" s="44"/>
      <c r="AL104" s="44"/>
      <c r="AM104" s="44"/>
      <c r="AN104" s="44"/>
    </row>
    <row r="105" spans="1:40">
      <c r="A105" s="261"/>
      <c r="B105" s="261"/>
      <c r="C105" s="342"/>
      <c r="D105" s="261"/>
      <c r="E105" s="261"/>
      <c r="F105" s="261"/>
      <c r="G105" s="261"/>
      <c r="H105" s="261"/>
      <c r="I105" s="261"/>
      <c r="J105" s="261"/>
      <c r="K105" s="261"/>
      <c r="L105" s="261"/>
      <c r="M105" s="256"/>
      <c r="N105" s="256"/>
      <c r="O105" s="256"/>
      <c r="P105" s="256"/>
      <c r="Q105" s="261"/>
      <c r="R105" s="261"/>
      <c r="S105" s="261"/>
      <c r="T105" s="261"/>
      <c r="U105" s="261"/>
      <c r="V105" s="261"/>
      <c r="W105" s="261"/>
      <c r="X105" s="261"/>
      <c r="Y105" s="261"/>
      <c r="Z105" s="261"/>
      <c r="AA105" s="266"/>
      <c r="AB105" s="266"/>
      <c r="AC105" s="266"/>
      <c r="AD105" s="266"/>
      <c r="AE105" s="44"/>
      <c r="AF105" s="44"/>
      <c r="AG105" s="44"/>
      <c r="AH105" s="44"/>
      <c r="AI105" s="44"/>
      <c r="AJ105" s="44"/>
      <c r="AK105" s="44"/>
      <c r="AL105" s="44"/>
      <c r="AM105" s="44"/>
      <c r="AN105" s="44"/>
    </row>
    <row r="106" spans="1:40">
      <c r="A106" s="261"/>
      <c r="B106" s="261"/>
      <c r="C106" s="342"/>
      <c r="D106" s="261"/>
      <c r="E106" s="261"/>
      <c r="F106" s="261"/>
      <c r="G106" s="261"/>
      <c r="H106" s="261"/>
      <c r="I106" s="261"/>
      <c r="J106" s="261"/>
      <c r="K106" s="261"/>
      <c r="L106" s="261"/>
      <c r="M106" s="256"/>
      <c r="N106" s="256"/>
      <c r="O106" s="256"/>
      <c r="P106" s="256"/>
      <c r="Q106" s="261"/>
      <c r="R106" s="261"/>
      <c r="S106" s="261"/>
      <c r="T106" s="261"/>
      <c r="U106" s="261"/>
      <c r="V106" s="261"/>
      <c r="W106" s="261"/>
      <c r="X106" s="261"/>
      <c r="Y106" s="261"/>
      <c r="Z106" s="261"/>
      <c r="AA106" s="266"/>
      <c r="AB106" s="266"/>
      <c r="AC106" s="266"/>
      <c r="AD106" s="266"/>
      <c r="AE106" s="44"/>
      <c r="AF106" s="44"/>
      <c r="AG106" s="44"/>
      <c r="AH106" s="44"/>
      <c r="AI106" s="44"/>
      <c r="AJ106" s="44"/>
      <c r="AK106" s="44"/>
      <c r="AL106" s="44"/>
      <c r="AM106" s="44"/>
      <c r="AN106" s="44"/>
    </row>
    <row r="107" spans="1:40">
      <c r="A107" s="261"/>
      <c r="B107" s="261"/>
      <c r="C107" s="342"/>
      <c r="D107" s="261"/>
      <c r="E107" s="261"/>
      <c r="F107" s="261"/>
      <c r="G107" s="261"/>
      <c r="H107" s="261"/>
      <c r="I107" s="261"/>
      <c r="J107" s="261"/>
      <c r="K107" s="261"/>
      <c r="L107" s="261"/>
      <c r="M107" s="256"/>
      <c r="N107" s="256"/>
      <c r="O107" s="256"/>
      <c r="P107" s="256"/>
      <c r="Q107" s="261"/>
      <c r="R107" s="261"/>
      <c r="S107" s="261"/>
      <c r="T107" s="261"/>
      <c r="U107" s="261"/>
      <c r="V107" s="261"/>
      <c r="W107" s="261"/>
      <c r="X107" s="261"/>
      <c r="Y107" s="261"/>
      <c r="Z107" s="261"/>
      <c r="AA107" s="266"/>
      <c r="AB107" s="266"/>
      <c r="AC107" s="266"/>
      <c r="AD107" s="266"/>
      <c r="AE107" s="44"/>
      <c r="AF107" s="44"/>
      <c r="AG107" s="44"/>
      <c r="AH107" s="44"/>
      <c r="AI107" s="44"/>
      <c r="AJ107" s="44"/>
      <c r="AK107" s="44"/>
      <c r="AL107" s="44"/>
      <c r="AM107" s="44"/>
      <c r="AN107" s="44"/>
    </row>
    <row r="108" spans="1:40">
      <c r="A108" s="261"/>
      <c r="B108" s="261"/>
      <c r="C108" s="342"/>
      <c r="D108" s="261"/>
      <c r="E108" s="261"/>
      <c r="F108" s="261"/>
      <c r="G108" s="261"/>
      <c r="H108" s="261"/>
      <c r="I108" s="261"/>
      <c r="J108" s="261"/>
      <c r="K108" s="261"/>
      <c r="L108" s="261"/>
      <c r="M108" s="256"/>
      <c r="N108" s="256"/>
      <c r="O108" s="256"/>
      <c r="P108" s="256"/>
      <c r="Q108" s="261"/>
      <c r="R108" s="261"/>
      <c r="S108" s="261"/>
      <c r="T108" s="261"/>
      <c r="U108" s="261"/>
      <c r="V108" s="261"/>
      <c r="W108" s="261"/>
      <c r="X108" s="261"/>
      <c r="Y108" s="261"/>
      <c r="Z108" s="261"/>
      <c r="AA108" s="266"/>
      <c r="AB108" s="266"/>
      <c r="AC108" s="266"/>
      <c r="AD108" s="266"/>
      <c r="AE108" s="44"/>
      <c r="AF108" s="44"/>
      <c r="AG108" s="44"/>
      <c r="AH108" s="44"/>
      <c r="AI108" s="44"/>
      <c r="AJ108" s="44"/>
      <c r="AK108" s="44"/>
      <c r="AL108" s="44"/>
      <c r="AM108" s="44"/>
      <c r="AN108" s="44"/>
    </row>
    <row r="109" spans="1:40">
      <c r="A109" s="261"/>
      <c r="B109" s="261"/>
      <c r="C109" s="342"/>
      <c r="D109" s="261"/>
      <c r="E109" s="261"/>
      <c r="F109" s="261"/>
      <c r="G109" s="261"/>
      <c r="H109" s="261"/>
      <c r="I109" s="261"/>
      <c r="J109" s="261"/>
      <c r="K109" s="261"/>
      <c r="L109" s="261"/>
      <c r="M109" s="256"/>
      <c r="N109" s="256"/>
      <c r="O109" s="256"/>
      <c r="P109" s="256"/>
      <c r="Q109" s="261"/>
      <c r="R109" s="261"/>
      <c r="S109" s="261"/>
      <c r="T109" s="261"/>
      <c r="U109" s="261"/>
      <c r="V109" s="261"/>
      <c r="W109" s="261"/>
      <c r="X109" s="261"/>
      <c r="Y109" s="261"/>
      <c r="Z109" s="261"/>
      <c r="AA109" s="266"/>
      <c r="AB109" s="266"/>
      <c r="AC109" s="266"/>
      <c r="AD109" s="266"/>
      <c r="AE109" s="44"/>
      <c r="AF109" s="44"/>
      <c r="AG109" s="44"/>
      <c r="AH109" s="44"/>
      <c r="AI109" s="44"/>
      <c r="AJ109" s="44"/>
      <c r="AK109" s="44"/>
      <c r="AL109" s="44"/>
      <c r="AM109" s="44"/>
      <c r="AN109" s="44"/>
    </row>
    <row r="110" spans="1:40">
      <c r="A110" s="261"/>
      <c r="B110" s="261"/>
      <c r="C110" s="342"/>
      <c r="D110" s="261"/>
      <c r="E110" s="261"/>
      <c r="F110" s="261"/>
      <c r="G110" s="261"/>
      <c r="H110" s="261"/>
      <c r="I110" s="261"/>
      <c r="J110" s="261"/>
      <c r="K110" s="261"/>
      <c r="L110" s="261"/>
      <c r="M110" s="256"/>
      <c r="N110" s="256"/>
      <c r="O110" s="256"/>
      <c r="P110" s="256"/>
      <c r="Q110" s="261"/>
      <c r="R110" s="261"/>
      <c r="S110" s="261"/>
      <c r="T110" s="261"/>
      <c r="U110" s="261"/>
      <c r="V110" s="261"/>
      <c r="W110" s="261"/>
      <c r="X110" s="261"/>
      <c r="Y110" s="261"/>
      <c r="Z110" s="261"/>
      <c r="AA110" s="266"/>
      <c r="AB110" s="266"/>
      <c r="AC110" s="266"/>
      <c r="AD110" s="266"/>
      <c r="AE110" s="44"/>
      <c r="AF110" s="44"/>
      <c r="AG110" s="44"/>
      <c r="AH110" s="44"/>
      <c r="AI110" s="44"/>
      <c r="AJ110" s="44"/>
      <c r="AK110" s="44"/>
      <c r="AL110" s="44"/>
      <c r="AM110" s="44"/>
      <c r="AN110" s="44"/>
    </row>
    <row r="111" spans="1:40">
      <c r="A111" s="261"/>
      <c r="B111" s="261"/>
      <c r="C111" s="342"/>
      <c r="D111" s="261"/>
      <c r="E111" s="261"/>
      <c r="F111" s="261"/>
      <c r="G111" s="261"/>
      <c r="H111" s="261"/>
      <c r="I111" s="261"/>
      <c r="J111" s="261"/>
      <c r="K111" s="261"/>
      <c r="L111" s="261"/>
      <c r="M111" s="256"/>
      <c r="N111" s="256"/>
      <c r="O111" s="256"/>
      <c r="P111" s="256"/>
      <c r="Q111" s="261"/>
      <c r="R111" s="261"/>
      <c r="S111" s="261"/>
      <c r="T111" s="261"/>
      <c r="U111" s="261"/>
      <c r="V111" s="261"/>
      <c r="W111" s="261"/>
      <c r="X111" s="261"/>
      <c r="Y111" s="261"/>
      <c r="Z111" s="261"/>
      <c r="AA111" s="266"/>
      <c r="AB111" s="266"/>
      <c r="AC111" s="266"/>
      <c r="AD111" s="266"/>
      <c r="AE111" s="44"/>
      <c r="AF111" s="44"/>
      <c r="AG111" s="44"/>
      <c r="AH111" s="44"/>
      <c r="AI111" s="44"/>
      <c r="AJ111" s="44"/>
      <c r="AK111" s="44"/>
      <c r="AL111" s="44"/>
      <c r="AM111" s="44"/>
      <c r="AN111" s="44"/>
    </row>
    <row r="112" spans="1:40">
      <c r="A112" s="261"/>
      <c r="B112" s="261"/>
      <c r="C112" s="342"/>
      <c r="D112" s="261"/>
      <c r="E112" s="261"/>
      <c r="F112" s="261"/>
      <c r="G112" s="261"/>
      <c r="H112" s="261"/>
      <c r="I112" s="261"/>
      <c r="J112" s="261"/>
      <c r="K112" s="261"/>
      <c r="L112" s="261"/>
      <c r="M112" s="256"/>
      <c r="N112" s="256"/>
      <c r="O112" s="256"/>
      <c r="P112" s="256"/>
      <c r="Q112" s="261"/>
      <c r="R112" s="261"/>
      <c r="S112" s="261"/>
      <c r="T112" s="261"/>
      <c r="U112" s="261"/>
      <c r="V112" s="261"/>
      <c r="W112" s="261"/>
      <c r="X112" s="261"/>
      <c r="Y112" s="261"/>
      <c r="Z112" s="261"/>
      <c r="AA112" s="266"/>
      <c r="AB112" s="266"/>
      <c r="AC112" s="266"/>
      <c r="AD112" s="266"/>
      <c r="AE112" s="44"/>
      <c r="AF112" s="44"/>
      <c r="AG112" s="44"/>
      <c r="AH112" s="44"/>
      <c r="AI112" s="44"/>
      <c r="AJ112" s="44"/>
      <c r="AK112" s="44"/>
      <c r="AL112" s="44"/>
      <c r="AM112" s="44"/>
      <c r="AN112" s="44"/>
    </row>
    <row r="113" spans="1:40">
      <c r="A113" s="261"/>
      <c r="B113" s="261"/>
      <c r="C113" s="342"/>
      <c r="D113" s="261"/>
      <c r="E113" s="261"/>
      <c r="F113" s="261"/>
      <c r="G113" s="261"/>
      <c r="H113" s="261"/>
      <c r="I113" s="261"/>
      <c r="J113" s="261"/>
      <c r="K113" s="261"/>
      <c r="L113" s="261"/>
      <c r="M113" s="256"/>
      <c r="N113" s="256"/>
      <c r="O113" s="256"/>
      <c r="P113" s="256"/>
      <c r="Q113" s="261"/>
      <c r="R113" s="261"/>
      <c r="S113" s="261"/>
      <c r="T113" s="261"/>
      <c r="U113" s="261"/>
      <c r="V113" s="261"/>
      <c r="W113" s="261"/>
      <c r="X113" s="261"/>
      <c r="Y113" s="261"/>
      <c r="Z113" s="261"/>
      <c r="AA113" s="266"/>
      <c r="AB113" s="266"/>
      <c r="AC113" s="266"/>
      <c r="AD113" s="266"/>
      <c r="AE113" s="44"/>
      <c r="AF113" s="44"/>
      <c r="AG113" s="44"/>
      <c r="AH113" s="44"/>
      <c r="AI113" s="44"/>
      <c r="AJ113" s="44"/>
      <c r="AK113" s="44"/>
      <c r="AL113" s="44"/>
      <c r="AM113" s="44"/>
      <c r="AN113" s="44"/>
    </row>
    <row r="114" spans="1:40">
      <c r="A114" s="261"/>
      <c r="B114" s="261"/>
      <c r="C114" s="342"/>
      <c r="D114" s="261"/>
      <c r="E114" s="261"/>
      <c r="F114" s="261"/>
      <c r="G114" s="261"/>
      <c r="H114" s="261"/>
      <c r="I114" s="261"/>
      <c r="J114" s="261"/>
      <c r="K114" s="261"/>
      <c r="L114" s="261"/>
      <c r="M114" s="256"/>
      <c r="N114" s="256"/>
      <c r="O114" s="256"/>
      <c r="P114" s="256"/>
      <c r="Q114" s="261"/>
      <c r="R114" s="261"/>
      <c r="S114" s="261"/>
      <c r="T114" s="261"/>
      <c r="U114" s="261"/>
      <c r="V114" s="261"/>
      <c r="W114" s="261"/>
      <c r="X114" s="261"/>
      <c r="Y114" s="261"/>
      <c r="Z114" s="261"/>
      <c r="AA114" s="266"/>
      <c r="AB114" s="266"/>
      <c r="AC114" s="266"/>
      <c r="AD114" s="266"/>
      <c r="AE114" s="44"/>
      <c r="AF114" s="44"/>
      <c r="AG114" s="44"/>
      <c r="AH114" s="44"/>
      <c r="AI114" s="44"/>
      <c r="AJ114" s="44"/>
      <c r="AK114" s="44"/>
      <c r="AL114" s="44"/>
      <c r="AM114" s="44"/>
      <c r="AN114" s="44"/>
    </row>
    <row r="115" spans="1:40">
      <c r="A115" s="261"/>
      <c r="B115" s="261"/>
      <c r="C115" s="342"/>
      <c r="D115" s="261"/>
      <c r="E115" s="261"/>
      <c r="F115" s="261"/>
      <c r="G115" s="261"/>
      <c r="H115" s="261"/>
      <c r="I115" s="261"/>
      <c r="J115" s="261"/>
      <c r="K115" s="261"/>
      <c r="L115" s="261"/>
      <c r="M115" s="256"/>
      <c r="N115" s="256"/>
      <c r="O115" s="256"/>
      <c r="P115" s="256"/>
      <c r="Q115" s="261"/>
      <c r="R115" s="261"/>
      <c r="S115" s="261"/>
      <c r="T115" s="261"/>
      <c r="U115" s="261"/>
      <c r="V115" s="261"/>
      <c r="W115" s="261"/>
      <c r="X115" s="261"/>
      <c r="Y115" s="261"/>
      <c r="Z115" s="261"/>
      <c r="AA115" s="266"/>
      <c r="AB115" s="266"/>
      <c r="AC115" s="266"/>
      <c r="AD115" s="266"/>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44"/>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44"/>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44"/>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44"/>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44"/>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44"/>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44"/>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44"/>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44"/>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44"/>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44"/>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44"/>
      <c r="AB127" s="44"/>
      <c r="AC127" s="44"/>
      <c r="AD127" s="44"/>
      <c r="AE127" s="44"/>
      <c r="AF127" s="44"/>
      <c r="AG127" s="44"/>
      <c r="AH127" s="44"/>
      <c r="AI127" s="44"/>
      <c r="AJ127" s="44"/>
      <c r="AK127" s="44"/>
      <c r="AL127" s="44"/>
      <c r="AM127" s="44"/>
      <c r="AN127" s="44"/>
    </row>
    <row r="128" spans="1:40" s="19" customFormat="1">
      <c r="C128" s="21"/>
    </row>
    <row r="129" spans="3:3" s="19" customFormat="1">
      <c r="C129" s="21"/>
    </row>
    <row r="130" spans="3:3" s="19" customFormat="1">
      <c r="C130" s="21"/>
    </row>
    <row r="131" spans="3:3" s="19" customFormat="1">
      <c r="C131" s="21"/>
    </row>
    <row r="132" spans="3:3" s="19" customFormat="1">
      <c r="C132" s="21"/>
    </row>
    <row r="133" spans="3:3" s="19" customFormat="1">
      <c r="C133" s="21"/>
    </row>
    <row r="134" spans="3:3" s="19" customFormat="1">
      <c r="C134" s="21"/>
    </row>
    <row r="135" spans="3:3" s="19" customFormat="1">
      <c r="C135" s="21"/>
    </row>
    <row r="136" spans="3:3" s="19" customFormat="1">
      <c r="C136" s="21"/>
    </row>
    <row r="137" spans="3:3" s="19" customFormat="1">
      <c r="C137" s="21"/>
    </row>
    <row r="138" spans="3:3" s="19" customFormat="1">
      <c r="C138" s="21"/>
    </row>
    <row r="139" spans="3:3" s="19" customFormat="1">
      <c r="C139" s="21"/>
    </row>
    <row r="140" spans="3:3" s="19" customFormat="1">
      <c r="C140" s="21"/>
    </row>
    <row r="141" spans="3:3" s="19" customFormat="1">
      <c r="C141" s="21"/>
    </row>
    <row r="142" spans="3:3" s="19" customFormat="1">
      <c r="C142" s="21"/>
    </row>
    <row r="143" spans="3:3" s="19" customFormat="1">
      <c r="C143" s="21"/>
    </row>
    <row r="144" spans="3:3" s="19" customFormat="1">
      <c r="C144" s="21"/>
    </row>
    <row r="145" spans="3:3" s="19" customFormat="1">
      <c r="C145" s="21"/>
    </row>
    <row r="146" spans="3:3" s="19" customFormat="1">
      <c r="C146" s="21"/>
    </row>
    <row r="147" spans="3:3" s="19" customFormat="1">
      <c r="C147" s="21"/>
    </row>
    <row r="148" spans="3:3" s="19" customFormat="1">
      <c r="C148" s="21"/>
    </row>
    <row r="149" spans="3:3" s="19" customFormat="1">
      <c r="C149" s="21"/>
    </row>
    <row r="150" spans="3:3" s="19" customFormat="1">
      <c r="C150" s="21"/>
    </row>
    <row r="151" spans="3:3" s="19" customFormat="1">
      <c r="C151" s="21"/>
    </row>
    <row r="152" spans="3:3" s="19" customFormat="1">
      <c r="C152" s="21"/>
    </row>
    <row r="153" spans="3:3" s="19" customFormat="1">
      <c r="C153" s="21"/>
    </row>
    <row r="154" spans="3:3" s="19" customFormat="1">
      <c r="C154" s="21"/>
    </row>
    <row r="155" spans="3:3" s="19" customFormat="1">
      <c r="C155" s="21"/>
    </row>
    <row r="156" spans="3:3" s="19" customFormat="1">
      <c r="C156" s="21"/>
    </row>
    <row r="157" spans="3:3" s="19" customFormat="1">
      <c r="C157" s="21"/>
    </row>
    <row r="158" spans="3:3" s="19" customFormat="1">
      <c r="C158" s="21"/>
    </row>
    <row r="159" spans="3:3" s="19" customFormat="1">
      <c r="C159" s="21"/>
    </row>
    <row r="160" spans="3:3" s="19" customFormat="1">
      <c r="C160" s="21"/>
    </row>
    <row r="161" spans="3:3" s="19" customFormat="1">
      <c r="C161" s="21"/>
    </row>
    <row r="162" spans="3:3" s="19" customFormat="1">
      <c r="C162" s="21"/>
    </row>
    <row r="163" spans="3:3" s="19" customFormat="1">
      <c r="C163" s="21"/>
    </row>
    <row r="164" spans="3:3" s="19" customFormat="1">
      <c r="C164" s="21"/>
    </row>
    <row r="165" spans="3:3" s="19" customFormat="1">
      <c r="C165" s="21"/>
    </row>
    <row r="166" spans="3:3" s="19" customFormat="1">
      <c r="C166" s="21"/>
    </row>
    <row r="167" spans="3:3" s="19" customFormat="1">
      <c r="C167" s="21"/>
    </row>
    <row r="168" spans="3:3" s="19" customFormat="1">
      <c r="C168" s="21"/>
    </row>
    <row r="169" spans="3:3" s="19" customFormat="1">
      <c r="C169" s="21"/>
    </row>
    <row r="170" spans="3:3" s="19" customFormat="1">
      <c r="C170" s="21"/>
    </row>
    <row r="171" spans="3:3" s="19" customFormat="1">
      <c r="C171" s="21"/>
    </row>
    <row r="172" spans="3:3" s="19" customFormat="1">
      <c r="C172" s="21"/>
    </row>
    <row r="173" spans="3:3" s="19" customFormat="1">
      <c r="C173" s="21"/>
    </row>
    <row r="174" spans="3:3" s="19" customFormat="1">
      <c r="C174" s="21"/>
    </row>
    <row r="175" spans="3:3" s="19" customFormat="1">
      <c r="C175" s="21"/>
    </row>
    <row r="176" spans="3:3" s="19" customFormat="1">
      <c r="C176" s="21"/>
    </row>
    <row r="177" spans="3:3" s="19" customFormat="1">
      <c r="C177" s="21"/>
    </row>
    <row r="178" spans="3:3" s="19" customFormat="1">
      <c r="C178" s="21"/>
    </row>
    <row r="179" spans="3:3" s="19" customFormat="1">
      <c r="C179" s="21"/>
    </row>
    <row r="180" spans="3:3" s="19" customFormat="1">
      <c r="C180" s="21"/>
    </row>
    <row r="181" spans="3:3" s="19" customFormat="1">
      <c r="C181" s="21"/>
    </row>
    <row r="182" spans="3:3" s="19" customFormat="1">
      <c r="C182" s="21"/>
    </row>
    <row r="183" spans="3:3" s="19" customFormat="1">
      <c r="C183" s="21"/>
    </row>
    <row r="184" spans="3:3" s="19" customFormat="1">
      <c r="C184" s="21"/>
    </row>
    <row r="185" spans="3:3" s="19" customFormat="1">
      <c r="C185" s="21"/>
    </row>
    <row r="186" spans="3:3" s="19" customFormat="1">
      <c r="C186" s="21"/>
    </row>
    <row r="187" spans="3:3" s="19" customFormat="1">
      <c r="C187" s="21"/>
    </row>
    <row r="188" spans="3:3" s="19" customFormat="1">
      <c r="C188" s="21"/>
    </row>
    <row r="189" spans="3:3" s="19" customFormat="1">
      <c r="C189" s="21"/>
    </row>
    <row r="190" spans="3:3" s="19" customFormat="1">
      <c r="C190" s="21"/>
    </row>
    <row r="191" spans="3:3" s="19" customFormat="1">
      <c r="C191" s="21"/>
    </row>
    <row r="192" spans="3:3" s="19" customFormat="1">
      <c r="C192" s="21"/>
    </row>
    <row r="193" spans="3:3" s="19" customFormat="1">
      <c r="C193" s="21"/>
    </row>
    <row r="194" spans="3:3" s="19" customFormat="1">
      <c r="C194" s="21"/>
    </row>
    <row r="195" spans="3:3" s="19" customFormat="1">
      <c r="C195" s="21"/>
    </row>
    <row r="196" spans="3:3" s="19" customFormat="1">
      <c r="C196" s="21"/>
    </row>
    <row r="197" spans="3:3" s="19" customFormat="1">
      <c r="C197" s="21"/>
    </row>
    <row r="198" spans="3:3" s="19" customFormat="1">
      <c r="C198" s="21"/>
    </row>
    <row r="199" spans="3:3" s="19" customFormat="1">
      <c r="C199" s="21"/>
    </row>
    <row r="200" spans="3:3" s="19" customFormat="1">
      <c r="C200" s="21"/>
    </row>
    <row r="201" spans="3:3" s="19" customFormat="1">
      <c r="C201" s="21"/>
    </row>
    <row r="202" spans="3:3" s="19" customFormat="1">
      <c r="C202" s="21"/>
    </row>
    <row r="203" spans="3:3" s="19" customFormat="1">
      <c r="C203" s="21"/>
    </row>
    <row r="204" spans="3:3" s="19" customFormat="1">
      <c r="C204" s="21"/>
    </row>
    <row r="205" spans="3:3" s="19" customFormat="1">
      <c r="C205" s="21"/>
    </row>
    <row r="206" spans="3:3" s="19" customFormat="1">
      <c r="C206" s="21"/>
    </row>
    <row r="207" spans="3:3" s="19" customFormat="1">
      <c r="C207" s="21"/>
    </row>
    <row r="208" spans="3:3" s="19" customFormat="1">
      <c r="C208" s="21"/>
    </row>
    <row r="209" spans="3:3" s="19" customFormat="1">
      <c r="C209" s="21"/>
    </row>
    <row r="210" spans="3:3" s="19" customFormat="1">
      <c r="C210" s="21"/>
    </row>
    <row r="211" spans="3:3" s="19" customFormat="1">
      <c r="C211" s="21"/>
    </row>
    <row r="212" spans="3:3" s="19" customFormat="1">
      <c r="C212" s="21"/>
    </row>
    <row r="213" spans="3:3" s="19" customFormat="1">
      <c r="C213" s="21"/>
    </row>
    <row r="214" spans="3:3" s="19" customFormat="1">
      <c r="C214" s="21"/>
    </row>
    <row r="215" spans="3:3" s="19" customFormat="1">
      <c r="C215" s="21"/>
    </row>
    <row r="216" spans="3:3" s="19" customFormat="1">
      <c r="C216" s="21"/>
    </row>
    <row r="217" spans="3:3" s="19" customFormat="1">
      <c r="C217" s="21"/>
    </row>
    <row r="218" spans="3:3" s="19" customFormat="1">
      <c r="C218" s="21"/>
    </row>
    <row r="219" spans="3:3" s="19" customFormat="1">
      <c r="C219" s="21"/>
    </row>
    <row r="220" spans="3:3" s="19" customFormat="1">
      <c r="C220" s="21"/>
    </row>
    <row r="221" spans="3:3" s="19" customFormat="1">
      <c r="C221" s="21"/>
    </row>
    <row r="222" spans="3:3" s="19" customFormat="1">
      <c r="C222" s="21"/>
    </row>
    <row r="223" spans="3:3" s="19" customFormat="1">
      <c r="C223" s="21"/>
    </row>
    <row r="224" spans="3:3" s="19" customFormat="1">
      <c r="C224" s="21"/>
    </row>
    <row r="225" spans="3:3" s="19" customFormat="1">
      <c r="C225" s="21"/>
    </row>
    <row r="226" spans="3:3" s="19" customFormat="1">
      <c r="C226" s="21"/>
    </row>
    <row r="227" spans="3:3" s="19" customFormat="1">
      <c r="C227" s="21"/>
    </row>
    <row r="228" spans="3:3" s="19" customFormat="1">
      <c r="C228" s="21"/>
    </row>
    <row r="229" spans="3:3" s="19" customFormat="1">
      <c r="C229" s="21"/>
    </row>
    <row r="230" spans="3:3" s="19" customFormat="1">
      <c r="C230" s="21"/>
    </row>
    <row r="231" spans="3:3" s="19" customFormat="1">
      <c r="C231" s="21"/>
    </row>
    <row r="232" spans="3:3" s="19" customFormat="1">
      <c r="C232" s="21"/>
    </row>
    <row r="233" spans="3:3" s="19" customFormat="1">
      <c r="C233" s="21"/>
    </row>
    <row r="234" spans="3:3" s="19" customFormat="1">
      <c r="C234" s="21"/>
    </row>
    <row r="235" spans="3:3" s="19" customFormat="1">
      <c r="C235" s="21"/>
    </row>
    <row r="236" spans="3:3" s="19" customFormat="1">
      <c r="C236" s="21"/>
    </row>
    <row r="237" spans="3:3" s="19" customFormat="1">
      <c r="C237" s="21"/>
    </row>
    <row r="238" spans="3:3" s="19" customFormat="1">
      <c r="C238" s="21"/>
    </row>
    <row r="239" spans="3:3" s="19" customFormat="1">
      <c r="C239" s="21"/>
    </row>
    <row r="240" spans="3:3" s="19" customFormat="1">
      <c r="C240" s="21"/>
    </row>
    <row r="241" spans="3:3" s="19" customFormat="1">
      <c r="C241" s="21"/>
    </row>
    <row r="242" spans="3:3" s="19" customFormat="1">
      <c r="C242" s="21"/>
    </row>
    <row r="243" spans="3:3" s="19" customFormat="1">
      <c r="C243" s="21"/>
    </row>
    <row r="244" spans="3:3" s="19" customFormat="1">
      <c r="C244" s="21"/>
    </row>
    <row r="245" spans="3:3" s="19" customFormat="1">
      <c r="C245" s="21"/>
    </row>
    <row r="246" spans="3:3" s="19" customFormat="1">
      <c r="C246" s="21"/>
    </row>
    <row r="247" spans="3:3" s="19" customFormat="1">
      <c r="C247" s="21"/>
    </row>
    <row r="248" spans="3:3" s="19" customFormat="1">
      <c r="C248" s="21"/>
    </row>
    <row r="249" spans="3:3" s="19" customFormat="1">
      <c r="C249" s="21"/>
    </row>
    <row r="250" spans="3:3" s="19" customFormat="1">
      <c r="C250" s="21"/>
    </row>
    <row r="251" spans="3:3" s="19" customFormat="1">
      <c r="C251" s="21"/>
    </row>
    <row r="252" spans="3:3" s="19" customFormat="1">
      <c r="C252" s="21"/>
    </row>
    <row r="253" spans="3:3" s="19" customFormat="1">
      <c r="C253" s="21"/>
    </row>
    <row r="254" spans="3:3" s="19" customFormat="1">
      <c r="C254" s="21"/>
    </row>
    <row r="255" spans="3:3" s="19" customFormat="1">
      <c r="C255" s="21"/>
    </row>
    <row r="256" spans="3:3" s="19" customFormat="1">
      <c r="C256" s="21"/>
    </row>
    <row r="257" spans="3:3" s="19" customFormat="1">
      <c r="C257" s="21"/>
    </row>
    <row r="258" spans="3:3" s="19" customFormat="1">
      <c r="C258" s="21"/>
    </row>
    <row r="259" spans="3:3" s="19" customFormat="1">
      <c r="C259" s="21"/>
    </row>
    <row r="260" spans="3:3" s="19" customFormat="1">
      <c r="C260" s="21"/>
    </row>
    <row r="261" spans="3:3" s="19" customFormat="1">
      <c r="C261" s="21"/>
    </row>
    <row r="262" spans="3:3" s="19" customFormat="1">
      <c r="C262" s="21"/>
    </row>
    <row r="263" spans="3:3" s="19" customFormat="1">
      <c r="C263" s="21"/>
    </row>
    <row r="264" spans="3:3" s="19" customFormat="1">
      <c r="C264" s="21"/>
    </row>
    <row r="265" spans="3:3" s="19" customFormat="1">
      <c r="C265" s="21"/>
    </row>
    <row r="266" spans="3:3" s="19" customFormat="1">
      <c r="C266" s="21"/>
    </row>
    <row r="267" spans="3:3" s="19" customFormat="1">
      <c r="C267" s="21"/>
    </row>
    <row r="268" spans="3:3" s="19" customFormat="1">
      <c r="C268" s="21"/>
    </row>
    <row r="269" spans="3:3" s="19" customFormat="1">
      <c r="C269" s="21"/>
    </row>
    <row r="270" spans="3:3" s="19" customFormat="1">
      <c r="C270" s="21"/>
    </row>
    <row r="271" spans="3:3" s="19" customFormat="1">
      <c r="C271" s="21"/>
    </row>
    <row r="272" spans="3:3" s="19" customFormat="1">
      <c r="C272" s="21"/>
    </row>
    <row r="273" spans="3:3" s="19" customFormat="1">
      <c r="C273" s="21"/>
    </row>
    <row r="274" spans="3:3" s="19" customFormat="1">
      <c r="C274" s="21"/>
    </row>
    <row r="275" spans="3:3" s="19" customFormat="1">
      <c r="C275" s="21"/>
    </row>
    <row r="276" spans="3:3" s="19" customFormat="1">
      <c r="C276" s="21"/>
    </row>
    <row r="277" spans="3:3" s="19" customFormat="1">
      <c r="C277" s="21"/>
    </row>
    <row r="278" spans="3:3" s="19" customFormat="1">
      <c r="C278" s="21"/>
    </row>
    <row r="279" spans="3:3" s="19" customFormat="1">
      <c r="C279" s="21"/>
    </row>
    <row r="280" spans="3:3" s="19" customFormat="1">
      <c r="C280" s="21"/>
    </row>
    <row r="281" spans="3:3" s="19" customFormat="1">
      <c r="C281" s="21"/>
    </row>
    <row r="282" spans="3:3" s="19" customFormat="1">
      <c r="C282" s="21"/>
    </row>
    <row r="283" spans="3:3" s="19" customFormat="1">
      <c r="C283" s="21"/>
    </row>
    <row r="284" spans="3:3" s="19" customFormat="1">
      <c r="C284" s="21"/>
    </row>
    <row r="285" spans="3:3" s="19" customFormat="1">
      <c r="C285" s="21"/>
    </row>
    <row r="286" spans="3:3" s="19" customFormat="1">
      <c r="C286" s="21"/>
    </row>
    <row r="287" spans="3:3" s="19" customFormat="1">
      <c r="C287" s="21"/>
    </row>
    <row r="288" spans="3:3" s="19" customFormat="1">
      <c r="C288" s="21"/>
    </row>
    <row r="289" spans="3:3" s="19" customFormat="1">
      <c r="C289" s="21"/>
    </row>
    <row r="290" spans="3:3" s="19" customFormat="1">
      <c r="C290" s="21"/>
    </row>
    <row r="291" spans="3:3" s="19" customFormat="1">
      <c r="C291" s="21"/>
    </row>
    <row r="292" spans="3:3" s="19" customFormat="1">
      <c r="C292" s="21"/>
    </row>
    <row r="293" spans="3:3" s="19" customFormat="1">
      <c r="C293" s="21"/>
    </row>
    <row r="294" spans="3:3" s="19" customFormat="1">
      <c r="C294" s="21"/>
    </row>
    <row r="295" spans="3:3" s="19" customFormat="1">
      <c r="C295" s="21"/>
    </row>
    <row r="296" spans="3:3" s="19" customFormat="1">
      <c r="C296" s="21"/>
    </row>
    <row r="297" spans="3:3" s="19" customFormat="1">
      <c r="C297" s="21"/>
    </row>
    <row r="298" spans="3:3" s="19" customFormat="1">
      <c r="C298" s="21"/>
    </row>
    <row r="299" spans="3:3" s="19" customFormat="1">
      <c r="C299" s="21"/>
    </row>
    <row r="300" spans="3:3" s="19" customFormat="1">
      <c r="C300" s="21"/>
    </row>
    <row r="301" spans="3:3" s="19" customFormat="1">
      <c r="C301" s="21"/>
    </row>
    <row r="302" spans="3:3" s="19" customFormat="1">
      <c r="C302" s="21"/>
    </row>
    <row r="303" spans="3:3" s="19" customFormat="1">
      <c r="C303" s="21"/>
    </row>
    <row r="304" spans="3:3" s="19" customFormat="1">
      <c r="C304" s="21"/>
    </row>
    <row r="305" spans="3:3" s="19" customFormat="1">
      <c r="C305" s="21"/>
    </row>
    <row r="306" spans="3:3" s="19" customFormat="1">
      <c r="C306" s="21"/>
    </row>
    <row r="307" spans="3:3" s="19" customFormat="1">
      <c r="C307" s="21"/>
    </row>
    <row r="308" spans="3:3" s="19" customFormat="1">
      <c r="C308" s="21"/>
    </row>
    <row r="309" spans="3:3" s="19" customFormat="1">
      <c r="C309" s="21"/>
    </row>
    <row r="310" spans="3:3" s="19" customFormat="1">
      <c r="C310" s="21"/>
    </row>
    <row r="311" spans="3:3" s="19" customFormat="1">
      <c r="C311" s="21"/>
    </row>
    <row r="312" spans="3:3" s="19" customFormat="1">
      <c r="C312" s="21"/>
    </row>
    <row r="313" spans="3:3" s="19" customFormat="1">
      <c r="C313" s="21"/>
    </row>
    <row r="314" spans="3:3" s="19" customFormat="1">
      <c r="C314" s="21"/>
    </row>
    <row r="315" spans="3:3" s="19" customFormat="1">
      <c r="C315" s="21"/>
    </row>
    <row r="316" spans="3:3" s="19" customFormat="1">
      <c r="C316" s="21"/>
    </row>
    <row r="317" spans="3:3" s="19" customFormat="1">
      <c r="C317" s="21"/>
    </row>
    <row r="318" spans="3:3" s="19" customFormat="1">
      <c r="C318" s="21"/>
    </row>
    <row r="319" spans="3:3" s="19" customFormat="1">
      <c r="C319" s="21"/>
    </row>
    <row r="320" spans="3:3" s="19" customFormat="1">
      <c r="C320" s="21"/>
    </row>
    <row r="321" spans="3:3" s="19" customFormat="1">
      <c r="C321" s="21"/>
    </row>
    <row r="322" spans="3:3" s="19" customFormat="1">
      <c r="C322" s="21"/>
    </row>
    <row r="323" spans="3:3" s="19" customFormat="1">
      <c r="C323" s="21"/>
    </row>
    <row r="324" spans="3:3" s="19" customFormat="1">
      <c r="C324" s="21"/>
    </row>
    <row r="325" spans="3:3" s="19" customFormat="1">
      <c r="C325" s="21"/>
    </row>
    <row r="326" spans="3:3" s="19" customFormat="1">
      <c r="C326" s="21"/>
    </row>
    <row r="327" spans="3:3" s="19" customFormat="1">
      <c r="C327" s="21"/>
    </row>
    <row r="328" spans="3:3" s="19" customFormat="1">
      <c r="C328" s="21"/>
    </row>
    <row r="329" spans="3:3" s="19" customFormat="1">
      <c r="C329" s="21"/>
    </row>
    <row r="330" spans="3:3" s="19" customFormat="1">
      <c r="C330" s="21"/>
    </row>
    <row r="331" spans="3:3" s="19" customFormat="1">
      <c r="C331" s="21"/>
    </row>
    <row r="332" spans="3:3" s="19" customFormat="1">
      <c r="C332" s="21"/>
    </row>
    <row r="333" spans="3:3" s="19" customFormat="1">
      <c r="C333" s="21"/>
    </row>
    <row r="334" spans="3:3" s="19" customFormat="1">
      <c r="C334" s="21"/>
    </row>
    <row r="335" spans="3:3" s="19" customFormat="1">
      <c r="C335" s="21"/>
    </row>
    <row r="336" spans="3:3" s="19" customFormat="1">
      <c r="C336" s="21"/>
    </row>
    <row r="337" spans="3:3" s="19" customFormat="1">
      <c r="C337" s="21"/>
    </row>
    <row r="338" spans="3:3" s="19" customFormat="1">
      <c r="C338" s="21"/>
    </row>
    <row r="339" spans="3:3" s="19" customFormat="1">
      <c r="C339" s="21"/>
    </row>
    <row r="340" spans="3:3" s="19" customFormat="1">
      <c r="C340" s="21"/>
    </row>
    <row r="341" spans="3:3" s="19" customFormat="1">
      <c r="C341" s="21"/>
    </row>
    <row r="342" spans="3:3" s="19" customFormat="1">
      <c r="C342" s="21"/>
    </row>
    <row r="343" spans="3:3" s="19" customFormat="1">
      <c r="C343" s="21"/>
    </row>
    <row r="344" spans="3:3" s="19" customFormat="1">
      <c r="C344" s="21"/>
    </row>
    <row r="345" spans="3:3" s="19" customFormat="1">
      <c r="C345" s="21"/>
    </row>
    <row r="346" spans="3:3" s="19" customFormat="1">
      <c r="C346" s="21"/>
    </row>
    <row r="347" spans="3:3" s="19" customFormat="1">
      <c r="C347" s="21"/>
    </row>
    <row r="348" spans="3:3" s="19" customFormat="1">
      <c r="C348" s="21"/>
    </row>
    <row r="349" spans="3:3" s="19" customFormat="1">
      <c r="C349" s="21"/>
    </row>
    <row r="350" spans="3:3" s="19" customFormat="1">
      <c r="C350" s="21"/>
    </row>
    <row r="351" spans="3:3" s="19" customFormat="1">
      <c r="C351" s="21"/>
    </row>
    <row r="352" spans="3:3" s="19" customFormat="1">
      <c r="C352" s="21"/>
    </row>
    <row r="353" spans="3:3" s="19" customFormat="1">
      <c r="C353" s="21"/>
    </row>
    <row r="354" spans="3:3" s="19" customFormat="1">
      <c r="C354" s="21"/>
    </row>
    <row r="355" spans="3:3" s="19" customFormat="1">
      <c r="C355" s="21"/>
    </row>
    <row r="356" spans="3:3" s="19" customFormat="1">
      <c r="C356" s="21"/>
    </row>
    <row r="357" spans="3:3" s="19" customFormat="1">
      <c r="C357" s="21"/>
    </row>
    <row r="358" spans="3:3" s="19" customFormat="1">
      <c r="C358" s="21"/>
    </row>
    <row r="359" spans="3:3" s="19" customFormat="1">
      <c r="C359" s="21"/>
    </row>
    <row r="360" spans="3:3" s="19" customFormat="1">
      <c r="C360" s="21"/>
    </row>
    <row r="361" spans="3:3" s="19" customFormat="1">
      <c r="C361" s="21"/>
    </row>
    <row r="362" spans="3:3" s="19" customFormat="1">
      <c r="C362" s="21"/>
    </row>
    <row r="363" spans="3:3" s="19" customFormat="1">
      <c r="C363" s="21"/>
    </row>
    <row r="364" spans="3:3" s="19" customFormat="1">
      <c r="C364" s="21"/>
    </row>
    <row r="365" spans="3:3" s="19" customFormat="1">
      <c r="C365" s="21"/>
    </row>
    <row r="366" spans="3:3" s="19" customFormat="1">
      <c r="C366" s="21"/>
    </row>
    <row r="367" spans="3:3" s="19" customFormat="1">
      <c r="C367" s="21"/>
    </row>
    <row r="368" spans="3:3" s="19" customFormat="1">
      <c r="C368" s="21"/>
    </row>
    <row r="369" spans="3:3" s="19" customFormat="1">
      <c r="C369" s="21"/>
    </row>
    <row r="370" spans="3:3" s="19" customFormat="1">
      <c r="C370" s="21"/>
    </row>
    <row r="371" spans="3:3" s="19" customFormat="1">
      <c r="C371" s="21"/>
    </row>
    <row r="372" spans="3:3" s="19" customFormat="1">
      <c r="C372" s="21"/>
    </row>
    <row r="373" spans="3:3" s="19" customFormat="1">
      <c r="C373" s="21"/>
    </row>
    <row r="374" spans="3:3" s="19" customFormat="1">
      <c r="C374" s="21"/>
    </row>
    <row r="375" spans="3:3" s="19" customFormat="1">
      <c r="C375" s="21"/>
    </row>
    <row r="376" spans="3:3" s="19" customFormat="1">
      <c r="C376" s="21"/>
    </row>
    <row r="377" spans="3:3" s="19" customFormat="1">
      <c r="C377" s="21"/>
    </row>
    <row r="378" spans="3:3" s="19" customFormat="1">
      <c r="C378" s="21"/>
    </row>
    <row r="379" spans="3:3" s="19" customFormat="1">
      <c r="C379" s="21"/>
    </row>
    <row r="380" spans="3:3" s="19" customFormat="1">
      <c r="C380" s="21"/>
    </row>
    <row r="381" spans="3:3" s="19" customFormat="1">
      <c r="C381" s="21"/>
    </row>
    <row r="382" spans="3:3" s="19" customFormat="1">
      <c r="C382" s="21"/>
    </row>
    <row r="383" spans="3:3" s="19" customFormat="1">
      <c r="C383" s="21"/>
    </row>
    <row r="384" spans="3:3" s="19" customFormat="1">
      <c r="C384" s="21"/>
    </row>
    <row r="385" spans="3:3" s="19" customFormat="1">
      <c r="C385" s="21"/>
    </row>
    <row r="386" spans="3:3" s="19" customFormat="1">
      <c r="C386" s="21"/>
    </row>
    <row r="387" spans="3:3" s="19" customFormat="1">
      <c r="C387" s="21"/>
    </row>
    <row r="388" spans="3:3" s="19" customFormat="1">
      <c r="C388" s="21"/>
    </row>
    <row r="389" spans="3:3" s="19" customFormat="1">
      <c r="C389" s="21"/>
    </row>
    <row r="390" spans="3:3" s="19" customFormat="1">
      <c r="C390" s="21"/>
    </row>
    <row r="391" spans="3:3" s="19" customFormat="1">
      <c r="C391" s="21"/>
    </row>
    <row r="392" spans="3:3" s="19" customFormat="1">
      <c r="C392" s="21"/>
    </row>
    <row r="393" spans="3:3" s="19" customFormat="1">
      <c r="C393" s="21"/>
    </row>
    <row r="394" spans="3:3" s="19" customFormat="1">
      <c r="C394" s="21"/>
    </row>
    <row r="395" spans="3:3" s="19" customFormat="1">
      <c r="C395" s="21"/>
    </row>
    <row r="396" spans="3:3" s="19" customFormat="1">
      <c r="C396" s="21"/>
    </row>
    <row r="397" spans="3:3" s="19" customFormat="1">
      <c r="C397" s="21"/>
    </row>
    <row r="398" spans="3:3" s="19" customFormat="1">
      <c r="C398" s="21"/>
    </row>
    <row r="399" spans="3:3" s="19" customFormat="1">
      <c r="C399" s="21"/>
    </row>
    <row r="400" spans="3:3" s="19" customFormat="1">
      <c r="C400" s="21"/>
    </row>
    <row r="401" spans="3:3" s="19" customFormat="1">
      <c r="C401" s="21"/>
    </row>
    <row r="402" spans="3:3" s="19" customFormat="1">
      <c r="C402" s="21"/>
    </row>
    <row r="403" spans="3:3" s="19" customFormat="1">
      <c r="C403" s="21"/>
    </row>
    <row r="404" spans="3:3" s="19" customFormat="1">
      <c r="C404" s="21"/>
    </row>
    <row r="405" spans="3:3" s="19" customFormat="1">
      <c r="C405" s="21"/>
    </row>
    <row r="406" spans="3:3" s="19" customFormat="1">
      <c r="C406" s="21"/>
    </row>
    <row r="407" spans="3:3" s="19" customFormat="1">
      <c r="C407" s="21"/>
    </row>
    <row r="408" spans="3:3" s="19" customFormat="1">
      <c r="C408" s="21"/>
    </row>
    <row r="409" spans="3:3" s="19" customFormat="1">
      <c r="C409" s="21"/>
    </row>
    <row r="410" spans="3:3" s="19" customFormat="1">
      <c r="C410" s="21"/>
    </row>
    <row r="411" spans="3:3" s="19" customFormat="1">
      <c r="C411" s="21"/>
    </row>
    <row r="412" spans="3:3" s="19" customFormat="1">
      <c r="C412" s="21"/>
    </row>
    <row r="413" spans="3:3" s="19" customFormat="1">
      <c r="C413" s="21"/>
    </row>
    <row r="414" spans="3:3" s="19" customFormat="1">
      <c r="C414" s="21"/>
    </row>
    <row r="415" spans="3:3" s="19" customFormat="1">
      <c r="C415" s="21"/>
    </row>
    <row r="416" spans="3:3" s="19" customFormat="1">
      <c r="C416" s="21"/>
    </row>
    <row r="417" spans="3:3" s="19" customFormat="1">
      <c r="C417" s="21"/>
    </row>
    <row r="418" spans="3:3" s="19" customFormat="1">
      <c r="C418" s="21"/>
    </row>
    <row r="419" spans="3:3" s="19" customFormat="1">
      <c r="C419" s="21"/>
    </row>
    <row r="420" spans="3:3" s="19" customFormat="1">
      <c r="C420" s="21"/>
    </row>
    <row r="421" spans="3:3" s="19" customFormat="1">
      <c r="C421" s="21"/>
    </row>
    <row r="422" spans="3:3" s="19" customFormat="1">
      <c r="C422" s="21"/>
    </row>
    <row r="423" spans="3:3" s="19" customFormat="1">
      <c r="C423" s="21"/>
    </row>
    <row r="424" spans="3:3" s="19" customFormat="1">
      <c r="C424" s="21"/>
    </row>
    <row r="425" spans="3:3" s="19" customFormat="1">
      <c r="C425" s="21"/>
    </row>
    <row r="426" spans="3:3" s="19" customFormat="1">
      <c r="C426" s="21"/>
    </row>
    <row r="427" spans="3:3" s="19" customFormat="1">
      <c r="C427" s="21"/>
    </row>
    <row r="428" spans="3:3" s="19" customFormat="1">
      <c r="C428" s="21"/>
    </row>
    <row r="429" spans="3:3" s="19" customFormat="1">
      <c r="C429" s="21"/>
    </row>
    <row r="430" spans="3:3" s="19" customFormat="1">
      <c r="C430" s="21"/>
    </row>
    <row r="431" spans="3:3" s="19" customFormat="1">
      <c r="C431" s="21"/>
    </row>
    <row r="432" spans="3:3" s="19" customFormat="1">
      <c r="C432" s="21"/>
    </row>
    <row r="433" spans="3:3" s="19" customFormat="1">
      <c r="C433" s="21"/>
    </row>
    <row r="434" spans="3:3" s="19" customFormat="1">
      <c r="C434" s="21"/>
    </row>
    <row r="435" spans="3:3" s="19" customFormat="1">
      <c r="C435" s="21"/>
    </row>
    <row r="436" spans="3:3" s="19" customFormat="1">
      <c r="C436" s="21"/>
    </row>
    <row r="437" spans="3:3" s="19" customFormat="1">
      <c r="C437" s="21"/>
    </row>
    <row r="438" spans="3:3" s="19" customFormat="1">
      <c r="C438" s="21"/>
    </row>
    <row r="439" spans="3:3" s="19" customFormat="1">
      <c r="C439" s="21"/>
    </row>
    <row r="440" spans="3:3" s="19" customFormat="1">
      <c r="C440" s="21"/>
    </row>
    <row r="441" spans="3:3" s="19" customFormat="1">
      <c r="C441" s="21"/>
    </row>
    <row r="442" spans="3:3" s="19" customFormat="1">
      <c r="C442" s="21"/>
    </row>
    <row r="443" spans="3:3" s="19" customFormat="1">
      <c r="C443" s="21"/>
    </row>
    <row r="444" spans="3:3" s="19" customFormat="1">
      <c r="C444" s="21"/>
    </row>
    <row r="445" spans="3:3" s="19" customFormat="1">
      <c r="C445" s="21"/>
    </row>
    <row r="446" spans="3:3" s="19" customFormat="1">
      <c r="C446" s="21"/>
    </row>
    <row r="447" spans="3:3" s="19" customFormat="1">
      <c r="C447" s="21"/>
    </row>
    <row r="448" spans="3:3" s="19" customFormat="1">
      <c r="C448" s="21"/>
    </row>
    <row r="449" spans="3:3" s="19" customFormat="1">
      <c r="C449" s="21"/>
    </row>
    <row r="450" spans="3:3" s="19" customFormat="1">
      <c r="C450" s="21"/>
    </row>
    <row r="451" spans="3:3" s="19" customFormat="1">
      <c r="C451" s="21"/>
    </row>
    <row r="452" spans="3:3" s="19" customFormat="1">
      <c r="C452" s="21"/>
    </row>
    <row r="453" spans="3:3" s="19" customFormat="1">
      <c r="C453" s="21"/>
    </row>
    <row r="454" spans="3:3" s="19" customFormat="1">
      <c r="C454" s="21"/>
    </row>
    <row r="455" spans="3:3" s="19" customFormat="1">
      <c r="C455" s="21"/>
    </row>
    <row r="456" spans="3:3" s="19" customFormat="1">
      <c r="C456" s="21"/>
    </row>
    <row r="457" spans="3:3" s="19" customFormat="1">
      <c r="C457" s="21"/>
    </row>
    <row r="458" spans="3:3" s="19" customFormat="1">
      <c r="C458" s="21"/>
    </row>
    <row r="459" spans="3:3" s="19" customFormat="1">
      <c r="C459" s="21"/>
    </row>
    <row r="460" spans="3:3" s="19" customFormat="1">
      <c r="C460" s="21"/>
    </row>
    <row r="461" spans="3:3" s="19" customFormat="1">
      <c r="C461" s="21"/>
    </row>
    <row r="462" spans="3:3" s="19" customFormat="1">
      <c r="C462" s="21"/>
    </row>
    <row r="463" spans="3:3" s="19" customFormat="1">
      <c r="C463" s="21"/>
    </row>
    <row r="464" spans="3:3" s="19" customFormat="1">
      <c r="C464" s="21"/>
    </row>
    <row r="465" spans="3:3" s="19" customFormat="1">
      <c r="C465" s="21"/>
    </row>
    <row r="466" spans="3:3" s="19" customFormat="1">
      <c r="C466" s="21"/>
    </row>
    <row r="467" spans="3:3" s="19" customFormat="1">
      <c r="C467" s="21"/>
    </row>
    <row r="468" spans="3:3" s="19" customFormat="1">
      <c r="C468" s="21"/>
    </row>
    <row r="469" spans="3:3" s="19" customFormat="1">
      <c r="C469" s="21"/>
    </row>
    <row r="470" spans="3:3" s="19" customFormat="1">
      <c r="C470" s="21"/>
    </row>
    <row r="471" spans="3:3" s="19" customFormat="1">
      <c r="C471" s="21"/>
    </row>
    <row r="472" spans="3:3" s="19" customFormat="1">
      <c r="C472" s="21"/>
    </row>
    <row r="473" spans="3:3" s="19" customFormat="1">
      <c r="C473" s="21"/>
    </row>
    <row r="474" spans="3:3" s="19" customFormat="1">
      <c r="C474" s="21"/>
    </row>
    <row r="475" spans="3:3" s="19" customFormat="1">
      <c r="C475" s="21"/>
    </row>
    <row r="476" spans="3:3" s="19" customFormat="1">
      <c r="C476" s="21"/>
    </row>
    <row r="477" spans="3:3" s="19" customFormat="1">
      <c r="C477" s="21"/>
    </row>
    <row r="478" spans="3:3" s="19" customFormat="1">
      <c r="C478" s="21"/>
    </row>
    <row r="479" spans="3:3" s="19" customFormat="1">
      <c r="C479" s="21"/>
    </row>
    <row r="480" spans="3:3" s="19" customFormat="1">
      <c r="C480" s="21"/>
    </row>
    <row r="481" spans="3:3" s="19" customFormat="1">
      <c r="C481" s="21"/>
    </row>
    <row r="482" spans="3:3" s="19" customFormat="1">
      <c r="C482" s="21"/>
    </row>
    <row r="483" spans="3:3" s="19" customFormat="1">
      <c r="C483" s="21"/>
    </row>
    <row r="484" spans="3:3" s="19" customFormat="1">
      <c r="C484" s="21"/>
    </row>
    <row r="485" spans="3:3" s="19" customFormat="1">
      <c r="C485" s="21"/>
    </row>
    <row r="486" spans="3:3" s="19" customFormat="1">
      <c r="C486" s="21"/>
    </row>
    <row r="487" spans="3:3" s="19" customFormat="1">
      <c r="C487" s="21"/>
    </row>
    <row r="488" spans="3:3" s="19" customFormat="1">
      <c r="C488" s="21"/>
    </row>
    <row r="489" spans="3:3" s="19" customFormat="1">
      <c r="C489" s="21"/>
    </row>
    <row r="490" spans="3:3" s="19" customFormat="1">
      <c r="C490" s="21"/>
    </row>
    <row r="491" spans="3:3" s="19" customFormat="1">
      <c r="C491" s="21"/>
    </row>
    <row r="492" spans="3:3" s="19" customFormat="1">
      <c r="C492" s="21"/>
    </row>
    <row r="493" spans="3:3" s="19" customFormat="1">
      <c r="C493" s="21"/>
    </row>
    <row r="494" spans="3:3" s="19" customFormat="1">
      <c r="C494" s="21"/>
    </row>
    <row r="495" spans="3:3" s="19" customFormat="1">
      <c r="C495" s="21"/>
    </row>
    <row r="496" spans="3:3" s="19" customFormat="1">
      <c r="C496" s="21"/>
    </row>
    <row r="497" spans="3:3" s="19" customFormat="1">
      <c r="C497" s="21"/>
    </row>
    <row r="498" spans="3:3" s="19" customFormat="1">
      <c r="C498" s="21"/>
    </row>
    <row r="499" spans="3:3" s="19" customFormat="1">
      <c r="C499" s="21"/>
    </row>
    <row r="500" spans="3:3" s="19" customFormat="1">
      <c r="C500" s="21"/>
    </row>
    <row r="501" spans="3:3" s="19" customFormat="1">
      <c r="C501" s="21"/>
    </row>
    <row r="502" spans="3:3" s="19" customFormat="1">
      <c r="C502" s="21"/>
    </row>
    <row r="503" spans="3:3" s="19" customFormat="1">
      <c r="C503" s="21"/>
    </row>
    <row r="504" spans="3:3" s="19" customFormat="1">
      <c r="C504" s="21"/>
    </row>
    <row r="505" spans="3:3" s="19" customFormat="1">
      <c r="C505" s="21"/>
    </row>
    <row r="506" spans="3:3" s="19" customFormat="1">
      <c r="C506" s="21"/>
    </row>
    <row r="507" spans="3:3" s="19" customFormat="1">
      <c r="C507" s="21"/>
    </row>
    <row r="508" spans="3:3" s="19" customFormat="1">
      <c r="C508" s="21"/>
    </row>
    <row r="509" spans="3:3" s="19" customFormat="1">
      <c r="C509" s="21"/>
    </row>
    <row r="510" spans="3:3" s="19" customFormat="1">
      <c r="C510" s="21"/>
    </row>
    <row r="511" spans="3:3" s="19" customFormat="1">
      <c r="C511" s="21"/>
    </row>
    <row r="512" spans="3:3" s="19" customFormat="1">
      <c r="C512" s="21"/>
    </row>
    <row r="513" spans="3:3" s="19" customFormat="1">
      <c r="C513" s="21"/>
    </row>
    <row r="514" spans="3:3" s="19" customFormat="1">
      <c r="C514" s="21"/>
    </row>
    <row r="515" spans="3:3" s="19" customFormat="1">
      <c r="C515" s="21"/>
    </row>
    <row r="516" spans="3:3" s="19" customFormat="1">
      <c r="C516" s="21"/>
    </row>
    <row r="517" spans="3:3" s="19" customFormat="1">
      <c r="C517" s="21"/>
    </row>
    <row r="518" spans="3:3" s="19" customFormat="1">
      <c r="C518" s="21"/>
    </row>
    <row r="519" spans="3:3" s="19" customFormat="1">
      <c r="C519" s="21"/>
    </row>
    <row r="520" spans="3:3" s="19" customFormat="1">
      <c r="C520" s="21"/>
    </row>
    <row r="521" spans="3:3" s="19" customFormat="1">
      <c r="C521" s="21"/>
    </row>
    <row r="522" spans="3:3" s="19" customFormat="1">
      <c r="C522" s="21"/>
    </row>
    <row r="523" spans="3:3" s="19" customFormat="1">
      <c r="C523" s="21"/>
    </row>
    <row r="524" spans="3:3" s="19" customFormat="1">
      <c r="C524" s="21"/>
    </row>
    <row r="525" spans="3:3" s="19" customFormat="1">
      <c r="C525" s="21"/>
    </row>
    <row r="526" spans="3:3" s="19" customFormat="1">
      <c r="C526" s="21"/>
    </row>
    <row r="527" spans="3:3" s="19" customFormat="1">
      <c r="C527" s="21"/>
    </row>
    <row r="528" spans="3:3" s="19" customFormat="1">
      <c r="C528" s="21"/>
    </row>
    <row r="529" spans="3:3" s="19" customFormat="1">
      <c r="C529" s="21"/>
    </row>
    <row r="530" spans="3:3" s="19" customFormat="1">
      <c r="C530" s="21"/>
    </row>
    <row r="531" spans="3:3" s="19" customFormat="1">
      <c r="C531" s="21"/>
    </row>
    <row r="532" spans="3:3" s="19" customFormat="1">
      <c r="C532" s="21"/>
    </row>
    <row r="533" spans="3:3" s="19" customFormat="1">
      <c r="C533" s="21"/>
    </row>
    <row r="534" spans="3:3" s="19" customFormat="1">
      <c r="C534" s="21"/>
    </row>
    <row r="535" spans="3:3" s="19" customFormat="1">
      <c r="C535" s="21"/>
    </row>
    <row r="536" spans="3:3" s="19" customFormat="1">
      <c r="C536" s="21"/>
    </row>
    <row r="537" spans="3:3" s="19" customFormat="1">
      <c r="C537" s="21"/>
    </row>
    <row r="538" spans="3:3" s="19" customFormat="1">
      <c r="C538" s="21"/>
    </row>
    <row r="539" spans="3:3" s="19" customFormat="1">
      <c r="C539" s="21"/>
    </row>
    <row r="540" spans="3:3" s="19" customFormat="1">
      <c r="C540" s="21"/>
    </row>
    <row r="541" spans="3:3" s="19" customFormat="1">
      <c r="C541" s="21"/>
    </row>
    <row r="542" spans="3:3" s="19" customFormat="1">
      <c r="C542" s="21"/>
    </row>
    <row r="543" spans="3:3" s="19" customFormat="1">
      <c r="C543" s="21"/>
    </row>
    <row r="544" spans="3:3" s="19" customFormat="1">
      <c r="C544" s="21"/>
    </row>
    <row r="545" spans="3:3" s="19" customFormat="1">
      <c r="C545" s="21"/>
    </row>
    <row r="546" spans="3:3" s="19" customFormat="1">
      <c r="C546" s="21"/>
    </row>
    <row r="547" spans="3:3" s="19" customFormat="1">
      <c r="C547" s="21"/>
    </row>
    <row r="548" spans="3:3" s="19" customFormat="1">
      <c r="C548" s="21"/>
    </row>
    <row r="549" spans="3:3" s="19" customFormat="1">
      <c r="C549" s="21"/>
    </row>
    <row r="550" spans="3:3" s="19" customFormat="1">
      <c r="C550" s="21"/>
    </row>
    <row r="551" spans="3:3" s="19" customFormat="1">
      <c r="C551" s="21"/>
    </row>
    <row r="552" spans="3:3" s="19" customFormat="1">
      <c r="C552" s="21"/>
    </row>
    <row r="553" spans="3:3" s="19" customFormat="1">
      <c r="C553" s="21"/>
    </row>
    <row r="554" spans="3:3" s="19" customFormat="1">
      <c r="C554" s="21"/>
    </row>
    <row r="555" spans="3:3" s="19" customFormat="1">
      <c r="C555" s="21"/>
    </row>
    <row r="556" spans="3:3" s="19" customFormat="1">
      <c r="C556" s="21"/>
    </row>
    <row r="557" spans="3:3" s="19" customFormat="1">
      <c r="C557" s="21"/>
    </row>
    <row r="558" spans="3:3" s="19" customFormat="1">
      <c r="C558" s="21"/>
    </row>
    <row r="559" spans="3:3" s="19" customFormat="1">
      <c r="C559" s="21"/>
    </row>
    <row r="560" spans="3:3" s="19" customFormat="1">
      <c r="C560" s="21"/>
    </row>
    <row r="561" spans="3:3" s="19" customFormat="1">
      <c r="C561" s="21"/>
    </row>
    <row r="562" spans="3:3" s="19" customFormat="1">
      <c r="C562" s="21"/>
    </row>
    <row r="563" spans="3:3" s="19" customFormat="1">
      <c r="C563" s="21"/>
    </row>
    <row r="564" spans="3:3" s="19" customFormat="1">
      <c r="C564" s="21"/>
    </row>
    <row r="565" spans="3:3" s="19" customFormat="1">
      <c r="C565" s="21"/>
    </row>
    <row r="566" spans="3:3" s="19" customFormat="1">
      <c r="C566" s="21"/>
    </row>
    <row r="567" spans="3:3" s="19" customFormat="1">
      <c r="C567" s="21"/>
    </row>
    <row r="568" spans="3:3" s="19" customFormat="1">
      <c r="C568" s="21"/>
    </row>
    <row r="569" spans="3:3" s="19" customFormat="1">
      <c r="C569" s="21"/>
    </row>
    <row r="570" spans="3:3" s="19" customFormat="1">
      <c r="C570" s="21"/>
    </row>
    <row r="571" spans="3:3" s="19" customFormat="1">
      <c r="C571" s="21"/>
    </row>
    <row r="572" spans="3:3" s="19" customFormat="1">
      <c r="C572" s="21"/>
    </row>
    <row r="573" spans="3:3" s="19" customFormat="1">
      <c r="C573" s="21"/>
    </row>
    <row r="574" spans="3:3" s="19" customFormat="1">
      <c r="C574" s="21"/>
    </row>
    <row r="575" spans="3:3" s="19" customFormat="1">
      <c r="C575" s="21"/>
    </row>
    <row r="576" spans="3:3" s="19" customFormat="1">
      <c r="C576" s="21"/>
    </row>
    <row r="577" spans="3:3" s="19" customFormat="1">
      <c r="C577" s="21"/>
    </row>
    <row r="578" spans="3:3" s="19" customFormat="1">
      <c r="C578" s="21"/>
    </row>
    <row r="579" spans="3:3" s="19" customFormat="1">
      <c r="C579" s="21"/>
    </row>
    <row r="580" spans="3:3" s="19" customFormat="1">
      <c r="C580" s="21"/>
    </row>
    <row r="581" spans="3:3" s="19" customFormat="1">
      <c r="C581" s="21"/>
    </row>
    <row r="582" spans="3:3" s="19" customFormat="1">
      <c r="C582" s="21"/>
    </row>
    <row r="583" spans="3:3" s="19" customFormat="1">
      <c r="C583" s="21"/>
    </row>
    <row r="584" spans="3:3" s="19" customFormat="1">
      <c r="C584" s="21"/>
    </row>
    <row r="585" spans="3:3" s="19" customFormat="1">
      <c r="C585" s="21"/>
    </row>
    <row r="586" spans="3:3" s="19" customFormat="1">
      <c r="C586" s="21"/>
    </row>
    <row r="587" spans="3:3" s="19" customFormat="1">
      <c r="C587" s="21"/>
    </row>
    <row r="588" spans="3:3" s="19" customFormat="1">
      <c r="C588" s="21"/>
    </row>
    <row r="589" spans="3:3" s="19" customFormat="1">
      <c r="C589" s="21"/>
    </row>
    <row r="590" spans="3:3" s="19" customFormat="1">
      <c r="C590" s="21"/>
    </row>
    <row r="591" spans="3:3" s="19" customFormat="1">
      <c r="C591" s="21"/>
    </row>
    <row r="592" spans="3:3" s="19" customFormat="1">
      <c r="C592" s="21"/>
    </row>
    <row r="593" spans="3:3" s="19" customFormat="1">
      <c r="C593" s="21"/>
    </row>
    <row r="594" spans="3:3" s="19" customFormat="1">
      <c r="C594" s="21"/>
    </row>
    <row r="595" spans="3:3" s="19" customFormat="1">
      <c r="C595" s="21"/>
    </row>
    <row r="596" spans="3:3" s="19" customFormat="1">
      <c r="C596" s="21"/>
    </row>
    <row r="597" spans="3:3" s="19" customFormat="1">
      <c r="C597" s="21"/>
    </row>
    <row r="598" spans="3:3" s="19" customFormat="1">
      <c r="C598" s="21"/>
    </row>
    <row r="599" spans="3:3" s="19" customFormat="1">
      <c r="C599" s="21"/>
    </row>
  </sheetData>
  <sheetProtection password="EAD7" sheet="1" objects="1" scenarios="1"/>
  <mergeCells count="5">
    <mergeCell ref="F9:H9"/>
    <mergeCell ref="D10:E10"/>
    <mergeCell ref="N9:P9"/>
    <mergeCell ref="L2:M2"/>
    <mergeCell ref="I2:J2"/>
  </mergeCells>
  <hyperlinks>
    <hyperlink ref="L2" location="Startseite!C7" display="zurück zur Startseite" xr:uid="{00000000-0004-0000-0800-000000000000}"/>
    <hyperlink ref="I2" location="Rentabilität!B8" display="zur Rentabilitätsberechnung" xr:uid="{00000000-0004-0000-0800-000001000000}"/>
    <hyperlink ref="I2:J2" location="Rentabilität!D11" display="zur Rentabilitätsberechnung" xr:uid="{00000000-0004-0000-0800-000002000000}"/>
  </hyperlinks>
  <printOptions horizontalCentered="1"/>
  <pageMargins left="0.23622047244094491" right="0.23622047244094491" top="0.78740157480314965" bottom="0.47244094488188981" header="0.51181102362204722" footer="0.31496062992125984"/>
  <pageSetup paperSize="9" scale="86"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720" r:id="rId4" name="Button 120">
              <controlPr defaultSize="0" print="0" autoFill="0" autoPict="0" macro="[0]!PersKostMitarbProdAusblenden">
                <anchor moveWithCells="1" sizeWithCells="1">
                  <from>
                    <xdr:col>5</xdr:col>
                    <xdr:colOff>228600</xdr:colOff>
                    <xdr:row>14</xdr:row>
                    <xdr:rowOff>144780</xdr:rowOff>
                  </from>
                  <to>
                    <xdr:col>5</xdr:col>
                    <xdr:colOff>228600</xdr:colOff>
                    <xdr:row>14</xdr:row>
                    <xdr:rowOff>144780</xdr:rowOff>
                  </to>
                </anchor>
              </controlPr>
            </control>
          </mc:Choice>
        </mc:AlternateContent>
        <mc:AlternateContent xmlns:mc="http://schemas.openxmlformats.org/markup-compatibility/2006">
          <mc:Choice Requires="x14">
            <control shapeId="25742" r:id="rId5" name="Button 142">
              <controlPr defaultSize="0" print="0" autoFill="0" autoPict="0" macro="[0]!PersKostMitarbProdAusblenden">
                <anchor moveWithCells="1" sizeWithCells="1">
                  <from>
                    <xdr:col>5</xdr:col>
                    <xdr:colOff>228600</xdr:colOff>
                    <xdr:row>15</xdr:row>
                    <xdr:rowOff>114300</xdr:rowOff>
                  </from>
                  <to>
                    <xdr:col>5</xdr:col>
                    <xdr:colOff>228600</xdr:colOff>
                    <xdr:row>15</xdr:row>
                    <xdr:rowOff>114300</xdr:rowOff>
                  </to>
                </anchor>
              </controlPr>
            </control>
          </mc:Choice>
        </mc:AlternateContent>
        <mc:AlternateContent xmlns:mc="http://schemas.openxmlformats.org/markup-compatibility/2006">
          <mc:Choice Requires="x14">
            <control shapeId="25743" r:id="rId6" name="Button 143">
              <controlPr defaultSize="0" print="0" autoFill="0" autoPict="0" macro="[0]!PersKostMitarbProdAusblenden">
                <anchor moveWithCells="1" sizeWithCells="1">
                  <from>
                    <xdr:col>5</xdr:col>
                    <xdr:colOff>228600</xdr:colOff>
                    <xdr:row>16</xdr:row>
                    <xdr:rowOff>76200</xdr:rowOff>
                  </from>
                  <to>
                    <xdr:col>5</xdr:col>
                    <xdr:colOff>228600</xdr:colOff>
                    <xdr:row>16</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800-000000000000}">
          <x14:formula1>
            <xm:f>DATE(YEAR(Startseite!$D$16)+1,MONTH(Startseite!$D$16),DAY(Startseite!$D$16))</xm:f>
          </x14:formula1>
          <x14:formula2>
            <xm:f>EOMONTH(DATE(YEAR(Startseite!$D$16)+1,MONTH(Startseite!$D$16),DAY(Startseite!$D$16)),11)</xm:f>
          </x14:formula2>
          <xm:sqref>D15:E38</xm:sqref>
        </x14:dataValidation>
      </x14:dataValidations>
    </ext>
  </extLst>
</worksheet>
</file>

<file path=docMetadata/LabelInfo.xml><?xml version="1.0" encoding="utf-8"?>
<clbl:labelList xmlns:clbl="http://schemas.microsoft.com/office/2020/mipLabelMetadata">
  <clbl:label id="{0fbf5a0c-208f-4426-a0e8-a93ff3ee9540}" enabled="1" method="Standard" siteId="{43fa60df-2ec4-412a-ae88-0e51f814eaa6}"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19</vt:i4>
      </vt:variant>
    </vt:vector>
  </HeadingPairs>
  <TitlesOfParts>
    <vt:vector size="39" baseType="lpstr">
      <vt:lpstr>Startseite</vt:lpstr>
      <vt:lpstr>Bearbeitungshinweise</vt:lpstr>
      <vt:lpstr>Hinweise Speichern &amp; Drucken</vt:lpstr>
      <vt:lpstr>Deckblatt</vt:lpstr>
      <vt:lpstr>Kapitalbedarf</vt:lpstr>
      <vt:lpstr>Finanzierung</vt:lpstr>
      <vt:lpstr>Zins und Tilgung</vt:lpstr>
      <vt:lpstr>Personalkosten 1. Jahr</vt:lpstr>
      <vt:lpstr>Personalkosten 2. Jahr</vt:lpstr>
      <vt:lpstr>Personalkosten 3. Jahr</vt:lpstr>
      <vt:lpstr>übrige Kosten</vt:lpstr>
      <vt:lpstr>Unternehmerlohn</vt:lpstr>
      <vt:lpstr>Umsatzplanung</vt:lpstr>
      <vt:lpstr>Rentabilität</vt:lpstr>
      <vt:lpstr>Stundenkostensatz </vt:lpstr>
      <vt:lpstr>Hilfstabelle</vt:lpstr>
      <vt:lpstr>Liquiditätsplan-1.Jahr</vt:lpstr>
      <vt:lpstr>Ertragsprognose 1. Jahr</vt:lpstr>
      <vt:lpstr>Liquiditätsplan-2.Jahr</vt:lpstr>
      <vt:lpstr>Liquiditätsplan-3.Jahr</vt:lpstr>
      <vt:lpstr>Bearbeitungshinweise!Druckbereich</vt:lpstr>
      <vt:lpstr>Deckblatt!Druckbereich</vt:lpstr>
      <vt:lpstr>'Ertragsprognose 1. Jahr'!Druckbereich</vt:lpstr>
      <vt:lpstr>Finanzierung!Druckbereich</vt:lpstr>
      <vt:lpstr>Kapitalbedarf!Druckbereich</vt:lpstr>
      <vt:lpstr>'Liquiditätsplan-1.Jahr'!Druckbereich</vt:lpstr>
      <vt:lpstr>'Liquiditätsplan-2.Jahr'!Druckbereich</vt:lpstr>
      <vt:lpstr>'Liquiditätsplan-3.Jahr'!Druckbereich</vt:lpstr>
      <vt:lpstr>'Personalkosten 1. Jahr'!Druckbereich</vt:lpstr>
      <vt:lpstr>'Personalkosten 2. Jahr'!Druckbereich</vt:lpstr>
      <vt:lpstr>'Personalkosten 3. Jahr'!Druckbereich</vt:lpstr>
      <vt:lpstr>Rentabilität!Druckbereich</vt:lpstr>
      <vt:lpstr>Startseite!Druckbereich</vt:lpstr>
      <vt:lpstr>'Stundenkostensatz '!Druckbereich</vt:lpstr>
      <vt:lpstr>'übrige Kosten'!Druckbereich</vt:lpstr>
      <vt:lpstr>Umsatzplanung!Druckbereich</vt:lpstr>
      <vt:lpstr>Unternehmerlohn!Druckbereich</vt:lpstr>
      <vt:lpstr>'Zins und Tilgung'!Druckbereich</vt:lpstr>
      <vt:lpstr>Rechtsformen</vt:lpstr>
    </vt:vector>
  </TitlesOfParts>
  <Company>HWK Düsseldorf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Gründungsplanung, Version 18.12.2003</dc:title>
  <dc:creator>HWK Düsseldorf, Uwe Hemens</dc:creator>
  <cp:lastModifiedBy>Kortenjan, Norbert</cp:lastModifiedBy>
  <cp:lastPrinted>2024-05-16T06:18:45Z</cp:lastPrinted>
  <dcterms:created xsi:type="dcterms:W3CDTF">1997-04-22T10:38:02Z</dcterms:created>
  <dcterms:modified xsi:type="dcterms:W3CDTF">2024-10-30T11:24:17Z</dcterms:modified>
</cp:coreProperties>
</file>